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9"/>
  <workbookPr/>
  <mc:AlternateContent xmlns:mc="http://schemas.openxmlformats.org/markup-compatibility/2006">
    <mc:Choice Requires="x15">
      <x15ac:absPath xmlns:x15ac="http://schemas.microsoft.com/office/spreadsheetml/2010/11/ac" url="/Volumes/Office/Meeting Materials/Agenda Materials/2018 Meetings/06 June 2018/"/>
    </mc:Choice>
  </mc:AlternateContent>
  <xr:revisionPtr revIDLastSave="0" documentId="8_{CE2B420F-8826-6F45-A764-26335083B2EA}" xr6:coauthVersionLast="31" xr6:coauthVersionMax="31" xr10:uidLastSave="{00000000-0000-0000-0000-000000000000}"/>
  <bookViews>
    <workbookView xWindow="2020" yWindow="1740" windowWidth="29740" windowHeight="15040" activeTab="3" xr2:uid="{00000000-000D-0000-FFFF-FFFF00000000}"/>
  </bookViews>
  <sheets>
    <sheet name="2018-2019" sheetId="1" r:id="rId1"/>
    <sheet name="Payroll " sheetId="6" r:id="rId2"/>
    <sheet name="Administrative" sheetId="7" r:id="rId3"/>
    <sheet name="Services" sheetId="8" r:id="rId4"/>
    <sheet name="Other LAFCOs" sheetId="9" r:id="rId5"/>
  </sheets>
  <definedNames>
    <definedName name="_xlnm.Print_Area" localSheetId="0">'2018-2019'!$A$2:$V$98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75" i="1" l="1"/>
  <c r="T40" i="1"/>
  <c r="T17" i="1"/>
  <c r="U17" i="1" s="1"/>
  <c r="B14" i="6"/>
  <c r="B13" i="6"/>
  <c r="B15" i="6" s="1"/>
  <c r="B7" i="6"/>
  <c r="B9" i="6" s="1"/>
  <c r="B8" i="6"/>
  <c r="D20" i="7"/>
  <c r="L6" i="8"/>
  <c r="R43" i="1"/>
  <c r="T43" i="1" s="1"/>
  <c r="U43" i="1" s="1"/>
  <c r="U84" i="1"/>
  <c r="I18" i="7"/>
  <c r="K20" i="7"/>
  <c r="R37" i="1"/>
  <c r="T37" i="1" s="1"/>
  <c r="U37" i="1" s="1"/>
  <c r="R38" i="1"/>
  <c r="T38" i="1" s="1"/>
  <c r="U38" i="1" s="1"/>
  <c r="R46" i="1"/>
  <c r="T46" i="1" s="1"/>
  <c r="U46" i="1" s="1"/>
  <c r="R18" i="1"/>
  <c r="T18" i="1" s="1"/>
  <c r="U18" i="1" s="1"/>
  <c r="R19" i="1"/>
  <c r="T19" i="1" s="1"/>
  <c r="U19" i="1" s="1"/>
  <c r="T84" i="1"/>
  <c r="R80" i="1"/>
  <c r="P80" i="1"/>
  <c r="R85" i="1"/>
  <c r="T85" i="1" s="1"/>
  <c r="U85" i="1" s="1"/>
  <c r="P85" i="1"/>
  <c r="P87" i="1" s="1"/>
  <c r="P90" i="1" s="1"/>
  <c r="R47" i="1"/>
  <c r="T47" i="1" s="1"/>
  <c r="U47" i="1" s="1"/>
  <c r="P74" i="1"/>
  <c r="P48" i="1"/>
  <c r="P20" i="1"/>
  <c r="P31" i="1"/>
  <c r="P55" i="1"/>
  <c r="H6" i="9"/>
  <c r="H7" i="9"/>
  <c r="H8" i="9"/>
  <c r="H10" i="9"/>
  <c r="H11" i="9"/>
  <c r="H12" i="9"/>
  <c r="H13" i="9"/>
  <c r="H5" i="9"/>
  <c r="D20" i="6"/>
  <c r="B20" i="6" s="1"/>
  <c r="D19" i="6"/>
  <c r="B19" i="6" s="1"/>
  <c r="B21" i="6" s="1"/>
  <c r="I6" i="6" s="1"/>
  <c r="J6" i="6" s="1"/>
  <c r="G16" i="9"/>
  <c r="H16" i="9" s="1"/>
  <c r="F16" i="9"/>
  <c r="J40" i="8"/>
  <c r="C8" i="8"/>
  <c r="C7" i="8"/>
  <c r="E8" i="8" s="1"/>
  <c r="G29" i="6"/>
  <c r="N48" i="1"/>
  <c r="N55" i="1" s="1"/>
  <c r="N31" i="1"/>
  <c r="N20" i="1"/>
  <c r="K55" i="1"/>
  <c r="H74" i="1"/>
  <c r="H87" i="1" s="1"/>
  <c r="H90" i="1" s="1"/>
  <c r="H97" i="1" s="1"/>
  <c r="H80" i="1"/>
  <c r="H85" i="1"/>
  <c r="H20" i="1"/>
  <c r="H25" i="1"/>
  <c r="H31" i="1"/>
  <c r="H48" i="1"/>
  <c r="H55" i="1"/>
  <c r="L85" i="1"/>
  <c r="L80" i="1"/>
  <c r="L74" i="1"/>
  <c r="L87" i="1"/>
  <c r="L20" i="1"/>
  <c r="L55" i="1" s="1"/>
  <c r="L31" i="1"/>
  <c r="L48" i="1"/>
  <c r="O55" i="1"/>
  <c r="D16" i="9"/>
  <c r="D20" i="1"/>
  <c r="D31" i="1"/>
  <c r="D48" i="1"/>
  <c r="D55" i="1"/>
  <c r="D57" i="1"/>
  <c r="D58" i="1"/>
  <c r="B21" i="7"/>
  <c r="D21" i="7" s="1"/>
  <c r="D23" i="7" s="1"/>
  <c r="R26" i="1" s="1"/>
  <c r="T26" i="1" s="1"/>
  <c r="U26" i="1" s="1"/>
  <c r="J48" i="1"/>
  <c r="J31" i="1"/>
  <c r="J20" i="1"/>
  <c r="J55" i="1"/>
  <c r="J58" i="1" s="1"/>
  <c r="G20" i="1"/>
  <c r="G31" i="1"/>
  <c r="G48" i="1"/>
  <c r="G55" i="1"/>
  <c r="G57" i="1" s="1"/>
  <c r="G48" i="6"/>
  <c r="K50" i="6" s="1"/>
  <c r="F51" i="6" s="1"/>
  <c r="R15" i="1" s="1"/>
  <c r="T15" i="1" s="1"/>
  <c r="U15" i="1" s="1"/>
  <c r="H48" i="6"/>
  <c r="I48" i="6"/>
  <c r="J48" i="6"/>
  <c r="K48" i="6"/>
  <c r="L15" i="8"/>
  <c r="R42" i="1" s="1"/>
  <c r="T42" i="1" s="1"/>
  <c r="U42" i="1" s="1"/>
  <c r="B44" i="8"/>
  <c r="E45" i="8"/>
  <c r="R44" i="1" s="1"/>
  <c r="T44" i="1" s="1"/>
  <c r="U44" i="1" s="1"/>
  <c r="B35" i="8"/>
  <c r="E36" i="8"/>
  <c r="R45" i="1" s="1"/>
  <c r="T45" i="1" s="1"/>
  <c r="U45" i="1" s="1"/>
  <c r="E19" i="8"/>
  <c r="J22" i="8"/>
  <c r="L22" i="8"/>
  <c r="R41" i="1" s="1"/>
  <c r="T41" i="1" s="1"/>
  <c r="U41" i="1" s="1"/>
  <c r="J29" i="8"/>
  <c r="J31" i="8"/>
  <c r="J32" i="8"/>
  <c r="L33" i="8"/>
  <c r="R39" i="1" s="1"/>
  <c r="T39" i="1" s="1"/>
  <c r="U39" i="1" s="1"/>
  <c r="J41" i="8"/>
  <c r="J42" i="8"/>
  <c r="L44" i="8"/>
  <c r="Q7" i="9"/>
  <c r="O13" i="9"/>
  <c r="Q13" i="9"/>
  <c r="O12" i="9"/>
  <c r="Q12" i="9" s="1"/>
  <c r="O11" i="9"/>
  <c r="Q11" i="9"/>
  <c r="O10" i="9"/>
  <c r="Q10" i="9"/>
  <c r="O9" i="9"/>
  <c r="Q9" i="9"/>
  <c r="O8" i="9"/>
  <c r="Q8" i="9" s="1"/>
  <c r="O6" i="9"/>
  <c r="Q6" i="9"/>
  <c r="O5" i="9"/>
  <c r="Q5" i="9"/>
  <c r="F15" i="6"/>
  <c r="U78" i="1"/>
  <c r="C10" i="7"/>
  <c r="C14" i="7" s="1"/>
  <c r="D30" i="7"/>
  <c r="D44" i="7"/>
  <c r="D43" i="7"/>
  <c r="D42" i="7"/>
  <c r="D41" i="7"/>
  <c r="D46" i="7"/>
  <c r="R28" i="1" s="1"/>
  <c r="T28" i="1" s="1"/>
  <c r="U28" i="1" s="1"/>
  <c r="K27" i="7"/>
  <c r="J27" i="7"/>
  <c r="I27" i="7"/>
  <c r="K18" i="7"/>
  <c r="J18" i="7"/>
  <c r="K7" i="7"/>
  <c r="K8" i="7"/>
  <c r="K9" i="7"/>
  <c r="K10" i="7" s="1"/>
  <c r="K33" i="7" s="1"/>
  <c r="R29" i="1" s="1"/>
  <c r="T29" i="1" s="1"/>
  <c r="U29" i="1" s="1"/>
  <c r="M42" i="7"/>
  <c r="M41" i="7"/>
  <c r="M40" i="7"/>
  <c r="G36" i="6"/>
  <c r="F39" i="6"/>
  <c r="D34" i="7"/>
  <c r="R27" i="1" s="1"/>
  <c r="T27" i="1" s="1"/>
  <c r="U27" i="1" s="1"/>
  <c r="M44" i="7"/>
  <c r="R30" i="1" s="1"/>
  <c r="T30" i="1" s="1"/>
  <c r="U30" i="1" s="1"/>
  <c r="H73" i="1"/>
  <c r="H72" i="1"/>
  <c r="H71" i="1"/>
  <c r="E80" i="1"/>
  <c r="F80" i="1"/>
  <c r="D80" i="1"/>
  <c r="D87" i="1" s="1"/>
  <c r="D72" i="1"/>
  <c r="D73" i="1"/>
  <c r="E74" i="1"/>
  <c r="G71" i="1"/>
  <c r="G72" i="1"/>
  <c r="E87" i="1"/>
  <c r="G80" i="1"/>
  <c r="G85" i="1"/>
  <c r="E20" i="1"/>
  <c r="E48" i="1"/>
  <c r="E31" i="1"/>
  <c r="E55" i="1"/>
  <c r="E90" i="1"/>
  <c r="G74" i="1"/>
  <c r="G73" i="1"/>
  <c r="G87" i="1"/>
  <c r="N58" i="1" l="1"/>
  <c r="N57" i="1"/>
  <c r="G21" i="6"/>
  <c r="F23" i="6" s="1"/>
  <c r="R16" i="1" s="1"/>
  <c r="T16" i="1" s="1"/>
  <c r="U16" i="1" s="1"/>
  <c r="B30" i="6"/>
  <c r="I4" i="6"/>
  <c r="J4" i="6" s="1"/>
  <c r="L90" i="1"/>
  <c r="L97" i="1" s="1"/>
  <c r="R25" i="1"/>
  <c r="A51" i="7"/>
  <c r="R36" i="1"/>
  <c r="A49" i="8"/>
  <c r="I5" i="6"/>
  <c r="J5" i="6" s="1"/>
  <c r="G90" i="1"/>
  <c r="D7" i="9"/>
  <c r="G58" i="1"/>
  <c r="J57" i="1"/>
  <c r="P97" i="1" l="1"/>
  <c r="T25" i="1"/>
  <c r="U25" i="1" s="1"/>
  <c r="R31" i="1"/>
  <c r="T31" i="1" s="1"/>
  <c r="U31" i="1" s="1"/>
  <c r="B51" i="6"/>
  <c r="R13" i="1"/>
  <c r="R48" i="1"/>
  <c r="T36" i="1"/>
  <c r="U36" i="1" s="1"/>
  <c r="F8" i="6"/>
  <c r="R14" i="1" s="1"/>
  <c r="T14" i="1" s="1"/>
  <c r="U14" i="1" s="1"/>
  <c r="T48" i="1" l="1"/>
  <c r="U48" i="1" s="1"/>
  <c r="R20" i="1"/>
  <c r="T20" i="1" s="1"/>
  <c r="U20" i="1" s="1"/>
  <c r="T13" i="1"/>
  <c r="U13" i="1" s="1"/>
  <c r="R55" i="1" l="1"/>
  <c r="R58" i="1" l="1"/>
  <c r="T55" i="1"/>
  <c r="U55" i="1" s="1"/>
  <c r="R57" i="1"/>
  <c r="R70" i="1"/>
  <c r="T70" i="1" l="1"/>
  <c r="U70" i="1" s="1"/>
  <c r="R73" i="1"/>
  <c r="T73" i="1" s="1"/>
  <c r="U73" i="1" s="1"/>
  <c r="R71" i="1"/>
  <c r="T71" i="1" s="1"/>
  <c r="U71" i="1" s="1"/>
  <c r="R74" i="1"/>
  <c r="R72" i="1"/>
  <c r="T72" i="1" s="1"/>
  <c r="U72" i="1" s="1"/>
  <c r="R87" i="1" l="1"/>
  <c r="T74" i="1"/>
  <c r="U74" i="1" s="1"/>
  <c r="R90" i="1" l="1"/>
  <c r="R97" i="1" s="1"/>
  <c r="T87" i="1"/>
  <c r="U8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Keene Simonds</author>
  </authors>
  <commentList>
    <comment ref="B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Keene Simonds:</t>
        </r>
        <r>
          <rPr>
            <sz val="9"/>
            <color indexed="81"/>
            <rFont val="Tahoma"/>
            <family val="2"/>
          </rPr>
          <t xml:space="preserve">
Salary/Sick/Vacation/Holiday/Personal</t>
        </r>
      </text>
    </comment>
    <comment ref="B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Keene Simonds:</t>
        </r>
        <r>
          <rPr>
            <sz val="9"/>
            <color indexed="81"/>
            <rFont val="Tahoma"/>
            <family val="2"/>
          </rPr>
          <t xml:space="preserve">
POB Retirement/I/III</t>
        </r>
      </text>
    </comment>
    <comment ref="B1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Keene Simonds:</t>
        </r>
        <r>
          <rPr>
            <sz val="9"/>
            <color indexed="81"/>
            <rFont val="Tahoma"/>
            <family val="2"/>
          </rPr>
          <t xml:space="preserve">
Fringe/Vision/Dental/Health/Life</t>
        </r>
      </text>
    </comment>
  </commentList>
</comments>
</file>

<file path=xl/sharedStrings.xml><?xml version="1.0" encoding="utf-8"?>
<sst xmlns="http://schemas.openxmlformats.org/spreadsheetml/2006/main" count="354" uniqueCount="237">
  <si>
    <t>Account</t>
  </si>
  <si>
    <t xml:space="preserve">Workers Compensation </t>
  </si>
  <si>
    <t>Commissioner Per Diems</t>
  </si>
  <si>
    <t>Legal Services</t>
  </si>
  <si>
    <t xml:space="preserve">Account </t>
  </si>
  <si>
    <t xml:space="preserve">Description </t>
  </si>
  <si>
    <t xml:space="preserve">Actual </t>
  </si>
  <si>
    <t>Description</t>
  </si>
  <si>
    <t>Service Charges</t>
  </si>
  <si>
    <t>Investments</t>
  </si>
  <si>
    <t xml:space="preserve">Interest </t>
  </si>
  <si>
    <t>EXPENSE TOTALS</t>
  </si>
  <si>
    <t>REVENUE TOTALS</t>
  </si>
  <si>
    <t>Adopted</t>
  </si>
  <si>
    <t xml:space="preserve">Miscellaneous </t>
  </si>
  <si>
    <t xml:space="preserve">Intergovernmental </t>
  </si>
  <si>
    <t xml:space="preserve">Contingencies </t>
  </si>
  <si>
    <t>Unemployment Insurance</t>
  </si>
  <si>
    <t>Professional Services</t>
  </si>
  <si>
    <t>Conferences</t>
  </si>
  <si>
    <t xml:space="preserve">Salary and Benefit Costs </t>
  </si>
  <si>
    <t xml:space="preserve">Service and Supply Costs </t>
  </si>
  <si>
    <t>Membership and Dues</t>
  </si>
  <si>
    <t xml:space="preserve">General Insurance </t>
  </si>
  <si>
    <t xml:space="preserve">Communication Services </t>
  </si>
  <si>
    <t>Reprographic/Map Services</t>
  </si>
  <si>
    <t xml:space="preserve">Operating Reserve </t>
  </si>
  <si>
    <t xml:space="preserve">Agency Contributions </t>
  </si>
  <si>
    <t xml:space="preserve">    County of Marin</t>
  </si>
  <si>
    <t>Application Fees</t>
  </si>
  <si>
    <t xml:space="preserve">Expense Ledger </t>
  </si>
  <si>
    <t>Revenue Ledger</t>
  </si>
  <si>
    <t xml:space="preserve">               </t>
  </si>
  <si>
    <t xml:space="preserve">                 </t>
  </si>
  <si>
    <t>FY14-15</t>
  </si>
  <si>
    <t>FY2014-2015</t>
  </si>
  <si>
    <t>-</t>
  </si>
  <si>
    <t>FY2015-2016</t>
  </si>
  <si>
    <t xml:space="preserve">   As of June 30th</t>
  </si>
  <si>
    <t>Actual</t>
  </si>
  <si>
    <t>FY15-16</t>
  </si>
  <si>
    <t>FY2016-2017</t>
  </si>
  <si>
    <t>FY16-17</t>
  </si>
  <si>
    <t>Actuals</t>
  </si>
  <si>
    <t>OPERATING NET</t>
  </si>
  <si>
    <t>Estimated</t>
  </si>
  <si>
    <t>FY17-18</t>
  </si>
  <si>
    <t>Difference</t>
  </si>
  <si>
    <t>FY2017-2018</t>
  </si>
  <si>
    <t>Salary | 40 Hours Per Week</t>
  </si>
  <si>
    <t>Analyst</t>
  </si>
  <si>
    <t>EO</t>
  </si>
  <si>
    <t>Clerk</t>
  </si>
  <si>
    <t xml:space="preserve">Payroll Tax </t>
  </si>
  <si>
    <t>Rate</t>
  </si>
  <si>
    <t>Charge</t>
  </si>
  <si>
    <t>Current Rate</t>
  </si>
  <si>
    <t>Projected Rate</t>
  </si>
  <si>
    <t>Position</t>
  </si>
  <si>
    <t xml:space="preserve">Clerk </t>
  </si>
  <si>
    <t>Projected Salary</t>
  </si>
  <si>
    <t>Current Charge</t>
  </si>
  <si>
    <t>Projected Charge</t>
  </si>
  <si>
    <t>Health</t>
  </si>
  <si>
    <t>Dental</t>
  </si>
  <si>
    <t>Life</t>
  </si>
  <si>
    <t>Vision</t>
  </si>
  <si>
    <t>Fringe</t>
  </si>
  <si>
    <t xml:space="preserve">EO </t>
  </si>
  <si>
    <t xml:space="preserve">Accounting | Payroll </t>
  </si>
  <si>
    <t>Travel and Mileage</t>
  </si>
  <si>
    <t>Per Diems</t>
  </si>
  <si>
    <t>Regular Meetings</t>
  </si>
  <si>
    <t>Special Meetings</t>
  </si>
  <si>
    <t xml:space="preserve">Committee Meetings </t>
  </si>
  <si>
    <t>Type:</t>
  </si>
  <si>
    <t>Number</t>
  </si>
  <si>
    <t xml:space="preserve">Attendance </t>
  </si>
  <si>
    <t>Miles</t>
  </si>
  <si>
    <t>Commissioner</t>
  </si>
  <si>
    <t>Registration</t>
  </si>
  <si>
    <t>Hotel/Food</t>
  </si>
  <si>
    <t>Transport</t>
  </si>
  <si>
    <t>Leg Meetings</t>
  </si>
  <si>
    <t xml:space="preserve">CALAFCO Annual </t>
  </si>
  <si>
    <t>CALAFCO Worksop</t>
  </si>
  <si>
    <t>APA</t>
  </si>
  <si>
    <t>CALAFCO U</t>
  </si>
  <si>
    <t xml:space="preserve">APA </t>
  </si>
  <si>
    <t>Event</t>
  </si>
  <si>
    <t xml:space="preserve">Particpants </t>
  </si>
  <si>
    <t>Cost</t>
  </si>
  <si>
    <t>Service</t>
  </si>
  <si>
    <t>Bookkepping</t>
  </si>
  <si>
    <t>Hours</t>
  </si>
  <si>
    <t xml:space="preserve">Payroll </t>
  </si>
  <si>
    <t>Outside Counsel</t>
  </si>
  <si>
    <t>Vendor</t>
  </si>
  <si>
    <t>Workshop Facilitator</t>
  </si>
  <si>
    <t>Bill Chiat</t>
  </si>
  <si>
    <t>Workshop Catering</t>
  </si>
  <si>
    <t>Forks and Fingers</t>
  </si>
  <si>
    <t xml:space="preserve">Annual Audit </t>
  </si>
  <si>
    <t>Riccardi</t>
  </si>
  <si>
    <t>Security Services</t>
  </si>
  <si>
    <t>Barbier</t>
  </si>
  <si>
    <t>Rent | Leases</t>
  </si>
  <si>
    <t>Office Space</t>
  </si>
  <si>
    <t>Meeting Place</t>
  </si>
  <si>
    <t>Type</t>
  </si>
  <si>
    <t>Place</t>
  </si>
  <si>
    <t>MCE</t>
  </si>
  <si>
    <t>Los Gamos</t>
  </si>
  <si>
    <t>MarinMap</t>
  </si>
  <si>
    <t xml:space="preserve">CALAFCO </t>
  </si>
  <si>
    <t>CSDA</t>
  </si>
  <si>
    <t>MarinTV</t>
  </si>
  <si>
    <t>Website</t>
  </si>
  <si>
    <t xml:space="preserve">CivicPlus </t>
  </si>
  <si>
    <t>Publications</t>
  </si>
  <si>
    <t>Outside Printing</t>
  </si>
  <si>
    <t>Legal Notices</t>
  </si>
  <si>
    <t xml:space="preserve">Training </t>
  </si>
  <si>
    <t xml:space="preserve">Equipment </t>
  </si>
  <si>
    <t>General Office</t>
  </si>
  <si>
    <t>Office Supplies</t>
  </si>
  <si>
    <t>Communications</t>
  </si>
  <si>
    <t>EO Phone</t>
  </si>
  <si>
    <t>Comcast</t>
  </si>
  <si>
    <t>Email Hosting</t>
  </si>
  <si>
    <t>DropBox</t>
  </si>
  <si>
    <t>Postage</t>
  </si>
  <si>
    <t>Hosting</t>
  </si>
  <si>
    <t>FP Mailing Box Rental</t>
  </si>
  <si>
    <t>Miscellanous</t>
  </si>
  <si>
    <t>Water Service</t>
  </si>
  <si>
    <t>Meeting Catering</t>
  </si>
  <si>
    <t>IT Services</t>
  </si>
  <si>
    <t>MSR Support | Statistics</t>
  </si>
  <si>
    <t>Computer Replacement</t>
  </si>
  <si>
    <t>Ricon Maintenance Agreement</t>
  </si>
  <si>
    <t>Copies</t>
  </si>
  <si>
    <t>Clerk Recruitment</t>
  </si>
  <si>
    <t>Chair-EO Breakfasts</t>
  </si>
  <si>
    <t xml:space="preserve">Accounting and Payroll </t>
  </si>
  <si>
    <t>Work Conferences</t>
  </si>
  <si>
    <t>Mileage and Travel</t>
  </si>
  <si>
    <t>Ongoing Education and Training</t>
  </si>
  <si>
    <t xml:space="preserve">Public Notices and Publications </t>
  </si>
  <si>
    <t>Website and Graphic Design</t>
  </si>
  <si>
    <t xml:space="preserve">General Office Supplies </t>
  </si>
  <si>
    <t>Records Storage</t>
  </si>
  <si>
    <t>Employee Retirement (MCERA)</t>
  </si>
  <si>
    <t>Employee Benefits (County of Marin)</t>
  </si>
  <si>
    <t>Amended</t>
  </si>
  <si>
    <t>Office Space Leases/Rents</t>
  </si>
  <si>
    <t>Office Equipment and Replacement</t>
  </si>
  <si>
    <t>TOTAL</t>
  </si>
  <si>
    <t>Alameda</t>
  </si>
  <si>
    <t>Contra Costa</t>
  </si>
  <si>
    <t>San Mateo</t>
  </si>
  <si>
    <t>Santa Clara</t>
  </si>
  <si>
    <t>Solano</t>
  </si>
  <si>
    <t xml:space="preserve">Sonoma </t>
  </si>
  <si>
    <t>Napa</t>
  </si>
  <si>
    <t>San Francisco</t>
  </si>
  <si>
    <t>2015-2016</t>
  </si>
  <si>
    <t>2016-2017</t>
  </si>
  <si>
    <t>Employees</t>
  </si>
  <si>
    <t>Cities &amp;</t>
  </si>
  <si>
    <t>Towns</t>
  </si>
  <si>
    <t xml:space="preserve">Special </t>
  </si>
  <si>
    <t>Districts</t>
  </si>
  <si>
    <t>Total</t>
  </si>
  <si>
    <t>Agencies</t>
  </si>
  <si>
    <t>Full Time</t>
  </si>
  <si>
    <t>yes</t>
  </si>
  <si>
    <t>no</t>
  </si>
  <si>
    <t>Staff</t>
  </si>
  <si>
    <t>Marin</t>
  </si>
  <si>
    <t xml:space="preserve">    Independent Special Districts (30)</t>
  </si>
  <si>
    <t xml:space="preserve"> UNRESERVED/UNRESTRICTED FUND BALANCE</t>
  </si>
  <si>
    <t>TBD</t>
  </si>
  <si>
    <t>County</t>
  </si>
  <si>
    <t xml:space="preserve">    Cities and Towns (11)</t>
  </si>
  <si>
    <t>FY18-19</t>
  </si>
  <si>
    <t>FY2018-2019</t>
  </si>
  <si>
    <t>Special Departmental Expense</t>
  </si>
  <si>
    <t>Other Post Employment Benefits</t>
  </si>
  <si>
    <t>Staff Salaries</t>
  </si>
  <si>
    <t>Salaries and Benefits | Assumptions</t>
  </si>
  <si>
    <t xml:space="preserve">Regular Salaries </t>
  </si>
  <si>
    <t>Payroll Tax</t>
  </si>
  <si>
    <t>MCERA Pension Costs</t>
  </si>
  <si>
    <t>Insurance Benefits</t>
  </si>
  <si>
    <t>* Acturial estimate</t>
  </si>
  <si>
    <t>* Estimate from SDRMA</t>
  </si>
  <si>
    <t xml:space="preserve">* Assumes 3% increase </t>
  </si>
  <si>
    <t>Administrative Costs | Assumptions</t>
  </si>
  <si>
    <t>Service and Supply Costs | Assumptions</t>
  </si>
  <si>
    <t>Bay Area LAFCO Budget Comparisons</t>
  </si>
  <si>
    <t>Consultant</t>
  </si>
  <si>
    <t>* Based on MCERA Estimate</t>
  </si>
  <si>
    <t>Analyst (PEPRA)</t>
  </si>
  <si>
    <t>Clerk (PEPRA)</t>
  </si>
  <si>
    <t xml:space="preserve">Contingency |  Cover Potential Mid-Year Adjustments </t>
  </si>
  <si>
    <t xml:space="preserve">  * assumes 6 recordings </t>
  </si>
  <si>
    <t xml:space="preserve">Special Events | MCCMC, Etc. </t>
  </si>
  <si>
    <t>Consultants</t>
  </si>
  <si>
    <t xml:space="preserve">General Administrative Costs </t>
  </si>
  <si>
    <t>Prior Year Difference</t>
  </si>
  <si>
    <t>HR Services</t>
  </si>
  <si>
    <t xml:space="preserve">Miscellaneous / Petty Cash </t>
  </si>
  <si>
    <t>excludes SF</t>
  </si>
  <si>
    <t>Outside Average:</t>
  </si>
  <si>
    <t>Post Employment Benefits (CalPERS)</t>
  </si>
  <si>
    <t>(negative amounts reflect draw down on reserves)</t>
  </si>
  <si>
    <t>Draft</t>
  </si>
  <si>
    <t xml:space="preserve">                   -</t>
  </si>
  <si>
    <t>Salary | 40 Hours Per Week @ Step V</t>
  </si>
  <si>
    <t xml:space="preserve">Salary | 35 Hours Per Week </t>
  </si>
  <si>
    <t>Annual Conference | Yosemite</t>
  </si>
  <si>
    <t>Marin Mac</t>
  </si>
  <si>
    <t xml:space="preserve">Annual Workshop | </t>
  </si>
  <si>
    <t>General Counsel</t>
  </si>
  <si>
    <t>Outside Conferences</t>
  </si>
  <si>
    <t>2017-2018</t>
  </si>
  <si>
    <t xml:space="preserve">                    -</t>
  </si>
  <si>
    <t>2018-2019 Rate</t>
  </si>
  <si>
    <t>2018-19 Salaries</t>
  </si>
  <si>
    <t>Software</t>
  </si>
  <si>
    <t xml:space="preserve">Commission Clerk Position | Assumes 2.0% COLA </t>
  </si>
  <si>
    <t xml:space="preserve">Analyst Position | Asssumes 2.0% COLA </t>
  </si>
  <si>
    <t xml:space="preserve">Executive Officer Position | Assumes 2.0% COLA </t>
  </si>
  <si>
    <t xml:space="preserve">1 Yr Change </t>
  </si>
  <si>
    <t xml:space="preserve">                       -</t>
  </si>
  <si>
    <t xml:space="preserve">                                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</si>
</sst>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0.0000"/>
    <numFmt numFmtId="167" formatCode="_(* #,##0_);_(* \(#,##0\);_(* &quot;-&quot;??_);_(@_)"/>
    <numFmt numFmtId="168" formatCode="0.0%"/>
  </numFmts>
  <fonts count="34">
    <font>
      <sz val="10"/>
      <name val="Arial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ndara"/>
      <family val="2"/>
    </font>
    <font>
      <u val="singleAccounting"/>
      <sz val="10"/>
      <name val="Candara"/>
      <family val="2"/>
    </font>
    <font>
      <b/>
      <sz val="10"/>
      <name val="Candara"/>
      <family val="2"/>
    </font>
    <font>
      <b/>
      <sz val="12"/>
      <name val="Candara"/>
      <family val="2"/>
    </font>
    <font>
      <sz val="10"/>
      <color theme="0"/>
      <name val="Candara"/>
      <family val="2"/>
    </font>
    <font>
      <b/>
      <sz val="10"/>
      <color theme="0"/>
      <name val="Candara"/>
      <family val="2"/>
    </font>
    <font>
      <b/>
      <sz val="11"/>
      <name val="Candara"/>
      <family val="2"/>
    </font>
    <font>
      <sz val="10"/>
      <color theme="9" tint="-0.249977111117893"/>
      <name val="Candara"/>
      <family val="2"/>
    </font>
    <font>
      <sz val="8"/>
      <name val="Candara"/>
      <family val="2"/>
    </font>
    <font>
      <b/>
      <sz val="8"/>
      <name val="Candara"/>
      <family val="2"/>
    </font>
    <font>
      <b/>
      <sz val="16"/>
      <name val="Candara"/>
      <family val="2"/>
    </font>
    <font>
      <sz val="14"/>
      <name val="Candara"/>
      <family val="2"/>
    </font>
    <font>
      <sz val="12"/>
      <name val="Candara"/>
      <family val="2"/>
    </font>
    <font>
      <i/>
      <sz val="8"/>
      <name val="Candara"/>
      <family val="2"/>
    </font>
    <font>
      <b/>
      <u/>
      <sz val="8"/>
      <color indexed="63"/>
      <name val="Candara"/>
      <family val="2"/>
    </font>
    <font>
      <sz val="8"/>
      <color rgb="FFFF0000"/>
      <name val="Candara"/>
      <family val="2"/>
    </font>
    <font>
      <b/>
      <u/>
      <sz val="8"/>
      <name val="Candara"/>
      <family val="2"/>
    </font>
    <font>
      <sz val="7"/>
      <name val="Candara"/>
      <family val="2"/>
    </font>
    <font>
      <b/>
      <i/>
      <sz val="8"/>
      <name val="Candara"/>
      <family val="2"/>
    </font>
    <font>
      <u val="singleAccounting"/>
      <sz val="8"/>
      <name val="Candara"/>
      <family val="2"/>
    </font>
    <font>
      <b/>
      <sz val="9"/>
      <name val="Candara"/>
      <family val="2"/>
    </font>
    <font>
      <sz val="10"/>
      <color rgb="FFFF0000"/>
      <name val="Candara"/>
      <family val="2"/>
    </font>
    <font>
      <b/>
      <sz val="14"/>
      <name val="Candara"/>
      <family val="2"/>
    </font>
    <font>
      <b/>
      <sz val="11"/>
      <color theme="0"/>
      <name val="Candara"/>
      <family val="2"/>
    </font>
    <font>
      <b/>
      <sz val="11"/>
      <color theme="5"/>
      <name val="Candara"/>
      <family val="2"/>
    </font>
    <font>
      <b/>
      <sz val="12"/>
      <color theme="5" tint="-0.499984740745262"/>
      <name val="Arial"/>
      <family val="2"/>
    </font>
    <font>
      <sz val="10"/>
      <color theme="5"/>
      <name val="Candar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</font>
  </fonts>
  <fills count="17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/>
      <right style="medium">
        <color indexed="55"/>
      </right>
      <top/>
      <bottom style="thin">
        <color auto="1"/>
      </bottom>
      <diagonal/>
    </border>
    <border>
      <left style="medium">
        <color indexed="55"/>
      </left>
      <right/>
      <top/>
      <bottom style="thin">
        <color auto="1"/>
      </bottom>
      <diagonal/>
    </border>
    <border>
      <left style="medium">
        <color indexed="55"/>
      </left>
      <right/>
      <top/>
      <bottom style="double">
        <color auto="1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thin">
        <color auto="1"/>
      </bottom>
      <diagonal/>
    </border>
    <border>
      <left style="medium">
        <color theme="0" tint="-0.34998626667073579"/>
      </left>
      <right/>
      <top/>
      <bottom style="double">
        <color auto="1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 style="thin">
        <color auto="1"/>
      </bottom>
      <diagonal/>
    </border>
    <border>
      <left/>
      <right style="medium">
        <color theme="0" tint="-0.34998626667073579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theme="0" tint="-0.34998626667073579"/>
      </left>
      <right/>
      <top/>
      <bottom style="thin">
        <color auto="1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/>
      <right style="medium">
        <color theme="0" tint="-0.24994659260841701"/>
      </right>
      <top/>
      <bottom style="thin">
        <color auto="1"/>
      </bottom>
      <diagonal/>
    </border>
    <border>
      <left/>
      <right style="medium">
        <color theme="0" tint="-0.24994659260841701"/>
      </right>
      <top/>
      <bottom/>
      <diagonal/>
    </border>
    <border>
      <left/>
      <right/>
      <top/>
      <bottom style="double">
        <color auto="1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thin">
        <color auto="1"/>
      </bottom>
      <diagonal/>
    </border>
    <border>
      <left/>
      <right style="medium">
        <color theme="0" tint="-0.499984740745262"/>
      </right>
      <top/>
      <bottom style="thin">
        <color auto="1"/>
      </bottom>
      <diagonal/>
    </border>
    <border>
      <left/>
      <right style="medium">
        <color theme="0" tint="-0.499984740745262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0" tint="-0.499984740745262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9" tint="-0.24994659260841701"/>
      </top>
      <bottom style="medium">
        <color theme="9" tint="-0.249977111117893"/>
      </bottom>
      <diagonal/>
    </border>
    <border>
      <left style="medium">
        <color theme="0" tint="-0.499984740745262"/>
      </left>
      <right/>
      <top/>
      <bottom style="medium">
        <color theme="9" tint="-0.249977111117893"/>
      </bottom>
      <diagonal/>
    </border>
    <border>
      <left style="medium">
        <color theme="0" tint="-0.499984740745262"/>
      </left>
      <right/>
      <top/>
      <bottom style="medium">
        <color theme="9" tint="-0.24994659260841701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9" tint="-0.249977111117893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9" tint="-0.249977111117893"/>
      </top>
      <bottom style="medium">
        <color theme="9" tint="-0.249977111117893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376">
    <xf numFmtId="0" fontId="0" fillId="0" borderId="0" xfId="0"/>
    <xf numFmtId="0" fontId="4" fillId="0" borderId="0" xfId="0" applyFont="1"/>
    <xf numFmtId="43" fontId="4" fillId="0" borderId="18" xfId="1" applyFont="1" applyBorder="1"/>
    <xf numFmtId="43" fontId="4" fillId="0" borderId="0" xfId="0" applyNumberFormat="1" applyFont="1"/>
    <xf numFmtId="44" fontId="4" fillId="0" borderId="0" xfId="2" applyFont="1"/>
    <xf numFmtId="43" fontId="4" fillId="0" borderId="0" xfId="1" applyFont="1"/>
    <xf numFmtId="0" fontId="4" fillId="0" borderId="0" xfId="0" applyFont="1" applyAlignment="1">
      <alignment horizontal="right"/>
    </xf>
    <xf numFmtId="43" fontId="4" fillId="0" borderId="0" xfId="0" applyNumberFormat="1" applyFont="1" applyAlignment="1">
      <alignment horizontal="right"/>
    </xf>
    <xf numFmtId="0" fontId="6" fillId="6" borderId="0" xfId="0" applyFont="1" applyFill="1"/>
    <xf numFmtId="0" fontId="6" fillId="6" borderId="0" xfId="0" applyFont="1" applyFill="1" applyAlignment="1">
      <alignment horizontal="right"/>
    </xf>
    <xf numFmtId="0" fontId="6" fillId="0" borderId="0" xfId="0" applyFont="1"/>
    <xf numFmtId="0" fontId="6" fillId="6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43" fontId="4" fillId="0" borderId="0" xfId="1" applyFont="1" applyAlignment="1">
      <alignment horizontal="right"/>
    </xf>
    <xf numFmtId="0" fontId="4" fillId="0" borderId="18" xfId="0" applyFont="1" applyBorder="1"/>
    <xf numFmtId="43" fontId="4" fillId="0" borderId="18" xfId="1" applyFont="1" applyBorder="1" applyAlignment="1">
      <alignment horizontal="right"/>
    </xf>
    <xf numFmtId="0" fontId="9" fillId="5" borderId="0" xfId="0" applyFont="1" applyFill="1"/>
    <xf numFmtId="43" fontId="4" fillId="0" borderId="18" xfId="0" applyNumberFormat="1" applyFont="1" applyBorder="1" applyAlignment="1">
      <alignment horizontal="right"/>
    </xf>
    <xf numFmtId="43" fontId="6" fillId="6" borderId="0" xfId="1" applyFont="1" applyFill="1" applyAlignment="1">
      <alignment horizontal="right"/>
    </xf>
    <xf numFmtId="43" fontId="4" fillId="0" borderId="0" xfId="0" applyNumberFormat="1" applyFont="1" applyBorder="1" applyAlignment="1">
      <alignment horizontal="right"/>
    </xf>
    <xf numFmtId="43" fontId="5" fillId="0" borderId="0" xfId="0" applyNumberFormat="1" applyFont="1" applyBorder="1" applyAlignment="1">
      <alignment horizontal="right"/>
    </xf>
    <xf numFmtId="44" fontId="11" fillId="0" borderId="0" xfId="2" applyFo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0" applyFont="1" applyFill="1"/>
    <xf numFmtId="0" fontId="12" fillId="0" borderId="0" xfId="0" applyFont="1" applyAlignment="1">
      <alignment horizontal="left"/>
    </xf>
    <xf numFmtId="0" fontId="14" fillId="0" borderId="0" xfId="0" applyFont="1"/>
    <xf numFmtId="0" fontId="12" fillId="0" borderId="0" xfId="0" applyFont="1" applyBorder="1" applyAlignment="1">
      <alignment horizontal="right"/>
    </xf>
    <xf numFmtId="44" fontId="12" fillId="0" borderId="0" xfId="0" applyNumberFormat="1" applyFont="1"/>
    <xf numFmtId="0" fontId="15" fillId="0" borderId="0" xfId="0" applyFont="1"/>
    <xf numFmtId="0" fontId="13" fillId="0" borderId="0" xfId="0" applyFont="1"/>
    <xf numFmtId="44" fontId="12" fillId="0" borderId="0" xfId="0" applyNumberFormat="1" applyFont="1" applyBorder="1"/>
    <xf numFmtId="0" fontId="7" fillId="0" borderId="0" xfId="0" applyFont="1" applyFill="1" applyBorder="1"/>
    <xf numFmtId="0" fontId="16" fillId="0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13" fillId="0" borderId="6" xfId="0" applyFont="1" applyBorder="1" applyAlignment="1">
      <alignment horizontal="right"/>
    </xf>
    <xf numFmtId="0" fontId="13" fillId="0" borderId="15" xfId="0" applyFont="1" applyBorder="1" applyAlignment="1">
      <alignment horizontal="right"/>
    </xf>
    <xf numFmtId="43" fontId="13" fillId="0" borderId="0" xfId="1" applyFont="1" applyFill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7" fillId="0" borderId="0" xfId="0" applyFont="1"/>
    <xf numFmtId="0" fontId="18" fillId="0" borderId="0" xfId="0" applyFont="1"/>
    <xf numFmtId="43" fontId="12" fillId="0" borderId="0" xfId="1" applyFont="1" applyBorder="1"/>
    <xf numFmtId="43" fontId="19" fillId="0" borderId="0" xfId="1" applyFont="1" applyBorder="1" applyAlignment="1">
      <alignment horizontal="center"/>
    </xf>
    <xf numFmtId="43" fontId="12" fillId="0" borderId="0" xfId="1" applyFont="1" applyFill="1" applyBorder="1" applyAlignment="1">
      <alignment horizontal="right"/>
    </xf>
    <xf numFmtId="43" fontId="19" fillId="0" borderId="0" xfId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43" fontId="12" fillId="0" borderId="0" xfId="1" applyFont="1" applyFill="1" applyBorder="1"/>
    <xf numFmtId="43" fontId="12" fillId="0" borderId="12" xfId="1" applyFont="1" applyFill="1" applyBorder="1" applyAlignment="1">
      <alignment horizontal="right"/>
    </xf>
    <xf numFmtId="43" fontId="12" fillId="0" borderId="0" xfId="1" applyFont="1"/>
    <xf numFmtId="0" fontId="12" fillId="0" borderId="0" xfId="0" applyFont="1" applyFill="1" applyBorder="1" applyAlignment="1">
      <alignment horizontal="right"/>
    </xf>
    <xf numFmtId="43" fontId="12" fillId="0" borderId="0" xfId="1" applyFont="1" applyBorder="1" applyAlignment="1">
      <alignment horizontal="right"/>
    </xf>
    <xf numFmtId="0" fontId="12" fillId="0" borderId="0" xfId="0" applyFont="1" applyFill="1" applyBorder="1" applyAlignment="1">
      <alignment horizontal="left" wrapText="1"/>
    </xf>
    <xf numFmtId="43" fontId="12" fillId="0" borderId="0" xfId="1" applyFont="1" applyFill="1" applyBorder="1" applyAlignment="1">
      <alignment horizontal="center"/>
    </xf>
    <xf numFmtId="43" fontId="12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left" wrapText="1"/>
    </xf>
    <xf numFmtId="0" fontId="18" fillId="0" borderId="0" xfId="0" applyFont="1" applyAlignment="1">
      <alignment horizontal="left"/>
    </xf>
    <xf numFmtId="43" fontId="13" fillId="0" borderId="0" xfId="1" applyFont="1" applyBorder="1" applyAlignment="1">
      <alignment horizontal="right"/>
    </xf>
    <xf numFmtId="43" fontId="13" fillId="0" borderId="0" xfId="1" applyFont="1" applyBorder="1"/>
    <xf numFmtId="0" fontId="6" fillId="0" borderId="0" xfId="0" applyFont="1" applyBorder="1"/>
    <xf numFmtId="0" fontId="20" fillId="0" borderId="0" xfId="0" applyFont="1"/>
    <xf numFmtId="43" fontId="12" fillId="0" borderId="0" xfId="1" applyFont="1" applyAlignment="1">
      <alignment horizontal="right"/>
    </xf>
    <xf numFmtId="43" fontId="17" fillId="0" borderId="0" xfId="1" applyFont="1" applyAlignment="1">
      <alignment horizontal="right"/>
    </xf>
    <xf numFmtId="0" fontId="21" fillId="0" borderId="0" xfId="0" applyFont="1" applyAlignment="1">
      <alignment horizontal="left"/>
    </xf>
    <xf numFmtId="43" fontId="22" fillId="0" borderId="0" xfId="1" applyFont="1" applyAlignment="1">
      <alignment horizontal="right"/>
    </xf>
    <xf numFmtId="43" fontId="12" fillId="0" borderId="16" xfId="1" applyFont="1" applyFill="1" applyBorder="1" applyAlignment="1">
      <alignment horizontal="right"/>
    </xf>
    <xf numFmtId="43" fontId="13" fillId="0" borderId="0" xfId="1" applyFont="1" applyAlignment="1">
      <alignment horizontal="right"/>
    </xf>
    <xf numFmtId="0" fontId="13" fillId="5" borderId="0" xfId="0" applyFont="1" applyFill="1" applyAlignment="1">
      <alignment horizontal="left"/>
    </xf>
    <xf numFmtId="0" fontId="12" fillId="5" borderId="0" xfId="0" applyFont="1" applyFill="1" applyAlignment="1">
      <alignment horizontal="right"/>
    </xf>
    <xf numFmtId="43" fontId="12" fillId="5" borderId="0" xfId="0" applyNumberFormat="1" applyFont="1" applyFill="1" applyBorder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horizontal="right"/>
    </xf>
    <xf numFmtId="0" fontId="12" fillId="3" borderId="0" xfId="0" applyFont="1" applyFill="1" applyBorder="1" applyAlignment="1">
      <alignment horizontal="right"/>
    </xf>
    <xf numFmtId="0" fontId="13" fillId="3" borderId="0" xfId="0" applyFont="1" applyFill="1" applyAlignment="1">
      <alignment horizontal="right"/>
    </xf>
    <xf numFmtId="0" fontId="13" fillId="4" borderId="0" xfId="0" applyFont="1" applyFill="1" applyBorder="1"/>
    <xf numFmtId="0" fontId="12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right"/>
    </xf>
    <xf numFmtId="44" fontId="13" fillId="4" borderId="0" xfId="2" applyFont="1" applyFill="1" applyBorder="1"/>
    <xf numFmtId="44" fontId="13" fillId="4" borderId="0" xfId="2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6" fillId="0" borderId="0" xfId="0" applyFont="1" applyBorder="1" applyAlignment="1">
      <alignment horizontal="left"/>
    </xf>
    <xf numFmtId="164" fontId="12" fillId="0" borderId="0" xfId="2" applyNumberFormat="1" applyFont="1"/>
    <xf numFmtId="0" fontId="12" fillId="0" borderId="0" xfId="0" applyFont="1" applyBorder="1" applyAlignment="1">
      <alignment horizontal="left"/>
    </xf>
    <xf numFmtId="44" fontId="12" fillId="0" borderId="0" xfId="2" applyFont="1" applyFill="1" applyBorder="1" applyAlignment="1">
      <alignment horizontal="left"/>
    </xf>
    <xf numFmtId="44" fontId="12" fillId="0" borderId="0" xfId="2" applyFont="1" applyFill="1" applyBorder="1" applyAlignment="1">
      <alignment horizontal="right"/>
    </xf>
    <xf numFmtId="0" fontId="6" fillId="10" borderId="0" xfId="0" applyFont="1" applyFill="1" applyBorder="1" applyAlignment="1">
      <alignment horizontal="right"/>
    </xf>
    <xf numFmtId="0" fontId="13" fillId="7" borderId="11" xfId="0" applyFont="1" applyFill="1" applyBorder="1" applyAlignment="1">
      <alignment horizontal="right"/>
    </xf>
    <xf numFmtId="0" fontId="13" fillId="7" borderId="0" xfId="0" applyFont="1" applyFill="1" applyBorder="1" applyAlignment="1">
      <alignment horizontal="right"/>
    </xf>
    <xf numFmtId="0" fontId="12" fillId="7" borderId="0" xfId="0" applyFont="1" applyFill="1" applyBorder="1" applyAlignment="1">
      <alignment horizontal="right"/>
    </xf>
    <xf numFmtId="43" fontId="12" fillId="7" borderId="0" xfId="1" applyFont="1" applyFill="1" applyBorder="1" applyAlignment="1">
      <alignment horizontal="right"/>
    </xf>
    <xf numFmtId="43" fontId="17" fillId="7" borderId="0" xfId="1" applyFont="1" applyFill="1" applyBorder="1" applyAlignment="1">
      <alignment horizontal="right"/>
    </xf>
    <xf numFmtId="43" fontId="12" fillId="0" borderId="0" xfId="0" applyNumberFormat="1" applyFont="1" applyFill="1"/>
    <xf numFmtId="0" fontId="13" fillId="11" borderId="6" xfId="0" applyFont="1" applyFill="1" applyBorder="1" applyAlignment="1">
      <alignment horizontal="right"/>
    </xf>
    <xf numFmtId="0" fontId="13" fillId="11" borderId="11" xfId="0" applyFont="1" applyFill="1" applyBorder="1" applyAlignment="1">
      <alignment horizontal="right"/>
    </xf>
    <xf numFmtId="0" fontId="13" fillId="11" borderId="15" xfId="0" applyFont="1" applyFill="1" applyBorder="1" applyAlignment="1">
      <alignment horizontal="right"/>
    </xf>
    <xf numFmtId="0" fontId="13" fillId="11" borderId="7" xfId="0" applyFont="1" applyFill="1" applyBorder="1" applyAlignment="1">
      <alignment horizontal="right"/>
    </xf>
    <xf numFmtId="0" fontId="13" fillId="11" borderId="0" xfId="0" applyFont="1" applyFill="1" applyBorder="1" applyAlignment="1">
      <alignment horizontal="right"/>
    </xf>
    <xf numFmtId="0" fontId="13" fillId="11" borderId="12" xfId="0" applyFont="1" applyFill="1" applyBorder="1" applyAlignment="1">
      <alignment horizontal="right"/>
    </xf>
    <xf numFmtId="0" fontId="12" fillId="11" borderId="7" xfId="0" applyFont="1" applyFill="1" applyBorder="1" applyAlignment="1">
      <alignment horizontal="right"/>
    </xf>
    <xf numFmtId="0" fontId="12" fillId="11" borderId="0" xfId="0" applyFont="1" applyFill="1" applyBorder="1" applyAlignment="1">
      <alignment horizontal="right"/>
    </xf>
    <xf numFmtId="0" fontId="12" fillId="11" borderId="12" xfId="0" applyFont="1" applyFill="1" applyBorder="1" applyAlignment="1">
      <alignment horizontal="right"/>
    </xf>
    <xf numFmtId="43" fontId="12" fillId="11" borderId="0" xfId="1" applyFont="1" applyFill="1" applyBorder="1" applyAlignment="1">
      <alignment horizontal="right"/>
    </xf>
    <xf numFmtId="43" fontId="13" fillId="11" borderId="0" xfId="1" applyFont="1" applyFill="1" applyBorder="1" applyAlignment="1">
      <alignment horizontal="right"/>
    </xf>
    <xf numFmtId="43" fontId="12" fillId="11" borderId="13" xfId="1" applyFont="1" applyFill="1" applyBorder="1" applyAlignment="1">
      <alignment horizontal="right"/>
    </xf>
    <xf numFmtId="0" fontId="12" fillId="11" borderId="18" xfId="0" applyFont="1" applyFill="1" applyBorder="1" applyAlignment="1">
      <alignment horizontal="right"/>
    </xf>
    <xf numFmtId="0" fontId="12" fillId="11" borderId="16" xfId="0" applyFont="1" applyFill="1" applyBorder="1" applyAlignment="1">
      <alignment horizontal="right"/>
    </xf>
    <xf numFmtId="43" fontId="13" fillId="11" borderId="0" xfId="1" applyFont="1" applyFill="1" applyBorder="1" applyAlignment="1">
      <alignment horizontal="right" indent="2"/>
    </xf>
    <xf numFmtId="43" fontId="12" fillId="11" borderId="0" xfId="0" applyNumberFormat="1" applyFont="1" applyFill="1" applyBorder="1"/>
    <xf numFmtId="43" fontId="19" fillId="11" borderId="0" xfId="1" applyFont="1" applyFill="1" applyBorder="1" applyAlignment="1">
      <alignment horizontal="right"/>
    </xf>
    <xf numFmtId="43" fontId="13" fillId="7" borderId="0" xfId="1" applyFont="1" applyFill="1" applyBorder="1" applyAlignment="1">
      <alignment horizontal="right"/>
    </xf>
    <xf numFmtId="0" fontId="12" fillId="7" borderId="13" xfId="0" applyFont="1" applyFill="1" applyBorder="1" applyAlignment="1">
      <alignment horizontal="right"/>
    </xf>
    <xf numFmtId="43" fontId="22" fillId="7" borderId="0" xfId="1" applyFont="1" applyFill="1" applyBorder="1" applyAlignment="1">
      <alignment horizontal="right"/>
    </xf>
    <xf numFmtId="0" fontId="10" fillId="0" borderId="0" xfId="0" applyFont="1"/>
    <xf numFmtId="0" fontId="10" fillId="0" borderId="0" xfId="0" applyFont="1" applyBorder="1"/>
    <xf numFmtId="0" fontId="24" fillId="0" borderId="0" xfId="0" applyFont="1" applyAlignment="1">
      <alignment horizontal="right"/>
    </xf>
    <xf numFmtId="0" fontId="10" fillId="5" borderId="0" xfId="0" applyFont="1" applyFill="1"/>
    <xf numFmtId="0" fontId="13" fillId="0" borderId="11" xfId="0" applyFont="1" applyBorder="1" applyAlignment="1">
      <alignment horizontal="right"/>
    </xf>
    <xf numFmtId="0" fontId="26" fillId="0" borderId="0" xfId="0" applyFont="1"/>
    <xf numFmtId="44" fontId="4" fillId="0" borderId="0" xfId="2" applyFont="1" applyAlignment="1">
      <alignment horizontal="right"/>
    </xf>
    <xf numFmtId="0" fontId="9" fillId="9" borderId="24" xfId="0" applyFont="1" applyFill="1" applyBorder="1" applyAlignment="1">
      <alignment horizontal="right"/>
    </xf>
    <xf numFmtId="0" fontId="9" fillId="9" borderId="0" xfId="0" applyFont="1" applyFill="1" applyBorder="1" applyAlignment="1">
      <alignment horizontal="right"/>
    </xf>
    <xf numFmtId="0" fontId="9" fillId="9" borderId="25" xfId="0" applyFont="1" applyFill="1" applyBorder="1" applyAlignment="1">
      <alignment horizontal="right"/>
    </xf>
    <xf numFmtId="0" fontId="9" fillId="9" borderId="26" xfId="0" applyFont="1" applyFill="1" applyBorder="1" applyAlignment="1">
      <alignment horizontal="right"/>
    </xf>
    <xf numFmtId="0" fontId="9" fillId="9" borderId="18" xfId="0" applyFont="1" applyFill="1" applyBorder="1" applyAlignment="1">
      <alignment horizontal="right"/>
    </xf>
    <xf numFmtId="0" fontId="9" fillId="9" borderId="27" xfId="0" applyFont="1" applyFill="1" applyBorder="1" applyAlignment="1">
      <alignment horizontal="right"/>
    </xf>
    <xf numFmtId="0" fontId="8" fillId="12" borderId="24" xfId="0" applyFont="1" applyFill="1" applyBorder="1" applyAlignment="1">
      <alignment horizontal="right"/>
    </xf>
    <xf numFmtId="0" fontId="8" fillId="12" borderId="0" xfId="0" applyFont="1" applyFill="1" applyBorder="1" applyAlignment="1">
      <alignment horizontal="right"/>
    </xf>
    <xf numFmtId="0" fontId="8" fillId="12" borderId="25" xfId="0" applyFont="1" applyFill="1" applyBorder="1" applyAlignment="1">
      <alignment horizontal="right"/>
    </xf>
    <xf numFmtId="0" fontId="27" fillId="12" borderId="26" xfId="0" applyFont="1" applyFill="1" applyBorder="1" applyAlignment="1">
      <alignment horizontal="right"/>
    </xf>
    <xf numFmtId="0" fontId="27" fillId="12" borderId="18" xfId="0" applyFont="1" applyFill="1" applyBorder="1" applyAlignment="1">
      <alignment horizontal="right"/>
    </xf>
    <xf numFmtId="0" fontId="27" fillId="12" borderId="27" xfId="0" applyFont="1" applyFill="1" applyBorder="1" applyAlignment="1">
      <alignment horizontal="right"/>
    </xf>
    <xf numFmtId="43" fontId="4" fillId="6" borderId="24" xfId="1" applyFont="1" applyFill="1" applyBorder="1" applyAlignment="1">
      <alignment horizontal="right"/>
    </xf>
    <xf numFmtId="43" fontId="4" fillId="6" borderId="0" xfId="1" applyFont="1" applyFill="1" applyBorder="1" applyAlignment="1">
      <alignment horizontal="right"/>
    </xf>
    <xf numFmtId="43" fontId="4" fillId="6" borderId="25" xfId="1" applyFont="1" applyFill="1" applyBorder="1" applyAlignment="1">
      <alignment horizontal="right"/>
    </xf>
    <xf numFmtId="43" fontId="4" fillId="6" borderId="26" xfId="1" applyFont="1" applyFill="1" applyBorder="1" applyAlignment="1">
      <alignment horizontal="right"/>
    </xf>
    <xf numFmtId="43" fontId="4" fillId="6" borderId="18" xfId="1" applyFont="1" applyFill="1" applyBorder="1" applyAlignment="1">
      <alignment horizontal="right"/>
    </xf>
    <xf numFmtId="43" fontId="4" fillId="6" borderId="27" xfId="1" applyFont="1" applyFill="1" applyBorder="1" applyAlignment="1">
      <alignment horizontal="right"/>
    </xf>
    <xf numFmtId="165" fontId="4" fillId="13" borderId="24" xfId="0" applyNumberFormat="1" applyFont="1" applyFill="1" applyBorder="1" applyAlignment="1">
      <alignment horizontal="right"/>
    </xf>
    <xf numFmtId="0" fontId="4" fillId="13" borderId="0" xfId="0" applyFont="1" applyFill="1" applyBorder="1" applyAlignment="1">
      <alignment horizontal="right"/>
    </xf>
    <xf numFmtId="0" fontId="4" fillId="13" borderId="25" xfId="0" applyFont="1" applyFill="1" applyBorder="1" applyAlignment="1">
      <alignment horizontal="right"/>
    </xf>
    <xf numFmtId="165" fontId="4" fillId="13" borderId="26" xfId="0" applyNumberFormat="1" applyFont="1" applyFill="1" applyBorder="1" applyAlignment="1">
      <alignment horizontal="right"/>
    </xf>
    <xf numFmtId="0" fontId="4" fillId="13" borderId="18" xfId="0" applyFont="1" applyFill="1" applyBorder="1" applyAlignment="1">
      <alignment horizontal="right"/>
    </xf>
    <xf numFmtId="0" fontId="4" fillId="13" borderId="27" xfId="0" applyFont="1" applyFill="1" applyBorder="1" applyAlignment="1">
      <alignment horizontal="right"/>
    </xf>
    <xf numFmtId="0" fontId="4" fillId="0" borderId="29" xfId="0" applyFont="1" applyFill="1" applyBorder="1"/>
    <xf numFmtId="43" fontId="4" fillId="6" borderId="30" xfId="1" applyFont="1" applyFill="1" applyBorder="1" applyAlignment="1">
      <alignment horizontal="right"/>
    </xf>
    <xf numFmtId="43" fontId="4" fillId="6" borderId="29" xfId="1" applyFont="1" applyFill="1" applyBorder="1" applyAlignment="1">
      <alignment horizontal="right"/>
    </xf>
    <xf numFmtId="43" fontId="4" fillId="6" borderId="28" xfId="1" applyFont="1" applyFill="1" applyBorder="1" applyAlignment="1">
      <alignment horizontal="right"/>
    </xf>
    <xf numFmtId="0" fontId="4" fillId="13" borderId="29" xfId="0" applyFont="1" applyFill="1" applyBorder="1" applyAlignment="1">
      <alignment horizontal="right"/>
    </xf>
    <xf numFmtId="0" fontId="4" fillId="13" borderId="28" xfId="0" applyFont="1" applyFill="1" applyBorder="1" applyAlignment="1">
      <alignment horizontal="right"/>
    </xf>
    <xf numFmtId="0" fontId="4" fillId="14" borderId="0" xfId="0" applyFont="1" applyFill="1"/>
    <xf numFmtId="0" fontId="4" fillId="14" borderId="18" xfId="0" applyFont="1" applyFill="1" applyBorder="1"/>
    <xf numFmtId="0" fontId="4" fillId="15" borderId="0" xfId="0" applyFont="1" applyFill="1"/>
    <xf numFmtId="0" fontId="4" fillId="15" borderId="18" xfId="0" applyFont="1" applyFill="1" applyBorder="1"/>
    <xf numFmtId="0" fontId="4" fillId="14" borderId="29" xfId="0" applyFont="1" applyFill="1" applyBorder="1"/>
    <xf numFmtId="43" fontId="10" fillId="0" borderId="23" xfId="0" applyNumberFormat="1" applyFont="1" applyBorder="1" applyAlignment="1">
      <alignment horizontal="right"/>
    </xf>
    <xf numFmtId="44" fontId="10" fillId="0" borderId="23" xfId="2" applyFont="1" applyBorder="1" applyAlignment="1">
      <alignment horizontal="right"/>
    </xf>
    <xf numFmtId="43" fontId="10" fillId="0" borderId="23" xfId="0" applyNumberFormat="1" applyFont="1" applyBorder="1"/>
    <xf numFmtId="43" fontId="7" fillId="0" borderId="23" xfId="0" applyNumberFormat="1" applyFont="1" applyBorder="1"/>
    <xf numFmtId="43" fontId="7" fillId="0" borderId="23" xfId="0" applyNumberFormat="1" applyFont="1" applyBorder="1" applyAlignment="1">
      <alignment horizontal="right"/>
    </xf>
    <xf numFmtId="0" fontId="12" fillId="5" borderId="0" xfId="0" applyFont="1" applyFill="1"/>
    <xf numFmtId="0" fontId="10" fillId="4" borderId="0" xfId="0" applyFont="1" applyFill="1" applyBorder="1"/>
    <xf numFmtId="44" fontId="12" fillId="4" borderId="0" xfId="2" applyFont="1" applyFill="1" applyBorder="1" applyAlignment="1">
      <alignment horizontal="right"/>
    </xf>
    <xf numFmtId="44" fontId="12" fillId="4" borderId="0" xfId="2" applyFont="1" applyFill="1" applyBorder="1"/>
    <xf numFmtId="167" fontId="12" fillId="0" borderId="7" xfId="1" applyNumberFormat="1" applyFont="1" applyBorder="1" applyAlignment="1">
      <alignment horizontal="right"/>
    </xf>
    <xf numFmtId="167" fontId="12" fillId="0" borderId="12" xfId="0" applyNumberFormat="1" applyFont="1" applyBorder="1" applyAlignment="1">
      <alignment horizontal="right"/>
    </xf>
    <xf numFmtId="167" fontId="12" fillId="0" borderId="7" xfId="1" applyNumberFormat="1" applyFont="1" applyFill="1" applyBorder="1" applyAlignment="1">
      <alignment horizontal="right"/>
    </xf>
    <xf numFmtId="167" fontId="12" fillId="0" borderId="12" xfId="0" applyNumberFormat="1" applyFont="1" applyFill="1" applyBorder="1" applyAlignment="1">
      <alignment horizontal="right"/>
    </xf>
    <xf numFmtId="167" fontId="12" fillId="0" borderId="8" xfId="1" applyNumberFormat="1" applyFont="1" applyBorder="1" applyAlignment="1">
      <alignment horizontal="right"/>
    </xf>
    <xf numFmtId="167" fontId="12" fillId="0" borderId="16" xfId="0" applyNumberFormat="1" applyFont="1" applyBorder="1" applyAlignment="1">
      <alignment horizontal="right"/>
    </xf>
    <xf numFmtId="167" fontId="13" fillId="0" borderId="12" xfId="0" applyNumberFormat="1" applyFont="1" applyBorder="1" applyAlignment="1">
      <alignment horizontal="right"/>
    </xf>
    <xf numFmtId="167" fontId="12" fillId="0" borderId="7" xfId="1" applyNumberFormat="1" applyFont="1" applyFill="1" applyBorder="1" applyAlignment="1">
      <alignment horizontal="right" indent="2"/>
    </xf>
    <xf numFmtId="167" fontId="12" fillId="0" borderId="7" xfId="1" applyNumberFormat="1" applyFont="1" applyBorder="1" applyAlignment="1">
      <alignment horizontal="right" indent="2"/>
    </xf>
    <xf numFmtId="167" fontId="12" fillId="0" borderId="4" xfId="1" applyNumberFormat="1" applyFont="1" applyBorder="1" applyAlignment="1">
      <alignment horizontal="right"/>
    </xf>
    <xf numFmtId="167" fontId="12" fillId="0" borderId="3" xfId="1" applyNumberFormat="1" applyFont="1" applyBorder="1" applyAlignment="1">
      <alignment horizontal="right"/>
    </xf>
    <xf numFmtId="167" fontId="12" fillId="0" borderId="1" xfId="1" applyNumberFormat="1" applyFont="1" applyBorder="1" applyAlignment="1">
      <alignment horizontal="right"/>
    </xf>
    <xf numFmtId="167" fontId="12" fillId="0" borderId="2" xfId="1" applyNumberFormat="1" applyFont="1" applyBorder="1" applyAlignment="1">
      <alignment horizontal="right"/>
    </xf>
    <xf numFmtId="167" fontId="12" fillId="0" borderId="19" xfId="1" applyNumberFormat="1" applyFont="1" applyBorder="1" applyAlignment="1">
      <alignment horizontal="right"/>
    </xf>
    <xf numFmtId="167" fontId="12" fillId="0" borderId="16" xfId="1" applyNumberFormat="1" applyFont="1" applyBorder="1" applyAlignment="1">
      <alignment horizontal="right"/>
    </xf>
    <xf numFmtId="167" fontId="12" fillId="0" borderId="5" xfId="1" applyNumberFormat="1" applyFont="1" applyBorder="1" applyAlignment="1">
      <alignment horizontal="right"/>
    </xf>
    <xf numFmtId="167" fontId="12" fillId="0" borderId="17" xfId="0" applyNumberFormat="1" applyFont="1" applyBorder="1" applyAlignment="1">
      <alignment horizontal="right"/>
    </xf>
    <xf numFmtId="167" fontId="12" fillId="0" borderId="10" xfId="1" applyNumberFormat="1" applyFont="1" applyBorder="1" applyAlignment="1">
      <alignment horizontal="right"/>
    </xf>
    <xf numFmtId="167" fontId="13" fillId="0" borderId="14" xfId="0" applyNumberFormat="1" applyFont="1" applyBorder="1" applyAlignment="1">
      <alignment horizontal="right"/>
    </xf>
    <xf numFmtId="167" fontId="12" fillId="0" borderId="0" xfId="1" applyNumberFormat="1" applyFont="1" applyBorder="1" applyAlignment="1">
      <alignment horizontal="right"/>
    </xf>
    <xf numFmtId="167" fontId="13" fillId="0" borderId="0" xfId="0" applyNumberFormat="1" applyFont="1" applyBorder="1" applyAlignment="1">
      <alignment horizontal="right"/>
    </xf>
    <xf numFmtId="167" fontId="6" fillId="2" borderId="0" xfId="0" applyNumberFormat="1" applyFont="1" applyFill="1" applyBorder="1"/>
    <xf numFmtId="167" fontId="6" fillId="2" borderId="0" xfId="0" applyNumberFormat="1" applyFont="1" applyFill="1" applyBorder="1" applyAlignment="1">
      <alignment horizontal="right"/>
    </xf>
    <xf numFmtId="167" fontId="13" fillId="0" borderId="0" xfId="0" applyNumberFormat="1" applyFont="1" applyAlignment="1">
      <alignment horizontal="right"/>
    </xf>
    <xf numFmtId="167" fontId="13" fillId="0" borderId="6" xfId="0" applyNumberFormat="1" applyFont="1" applyBorder="1" applyAlignment="1">
      <alignment horizontal="right"/>
    </xf>
    <xf numFmtId="167" fontId="13" fillId="0" borderId="15" xfId="0" applyNumberFormat="1" applyFont="1" applyBorder="1" applyAlignment="1">
      <alignment horizontal="right"/>
    </xf>
    <xf numFmtId="167" fontId="13" fillId="0" borderId="7" xfId="0" applyNumberFormat="1" applyFont="1" applyBorder="1" applyAlignment="1">
      <alignment horizontal="right"/>
    </xf>
    <xf numFmtId="167" fontId="12" fillId="0" borderId="7" xfId="0" applyNumberFormat="1" applyFont="1" applyBorder="1" applyAlignment="1">
      <alignment horizontal="right"/>
    </xf>
    <xf numFmtId="167" fontId="6" fillId="0" borderId="12" xfId="0" applyNumberFormat="1" applyFont="1" applyFill="1" applyBorder="1" applyAlignment="1">
      <alignment horizontal="right"/>
    </xf>
    <xf numFmtId="167" fontId="17" fillId="0" borderId="7" xfId="1" applyNumberFormat="1" applyFont="1" applyBorder="1" applyAlignment="1">
      <alignment horizontal="right"/>
    </xf>
    <xf numFmtId="167" fontId="17" fillId="0" borderId="12" xfId="0" applyNumberFormat="1" applyFont="1" applyBorder="1" applyAlignment="1">
      <alignment horizontal="right"/>
    </xf>
    <xf numFmtId="167" fontId="12" fillId="0" borderId="16" xfId="1" applyNumberFormat="1" applyFont="1" applyFill="1" applyBorder="1" applyAlignment="1">
      <alignment horizontal="right"/>
    </xf>
    <xf numFmtId="167" fontId="12" fillId="0" borderId="19" xfId="1" applyNumberFormat="1" applyFont="1" applyFill="1" applyBorder="1" applyAlignment="1">
      <alignment horizontal="right"/>
    </xf>
    <xf numFmtId="167" fontId="12" fillId="0" borderId="12" xfId="1" applyNumberFormat="1" applyFont="1" applyBorder="1" applyAlignment="1">
      <alignment horizontal="right"/>
    </xf>
    <xf numFmtId="167" fontId="12" fillId="0" borderId="9" xfId="1" applyNumberFormat="1" applyFont="1" applyBorder="1" applyAlignment="1">
      <alignment horizontal="right"/>
    </xf>
    <xf numFmtId="167" fontId="12" fillId="0" borderId="10" xfId="0" applyNumberFormat="1" applyFont="1" applyBorder="1" applyAlignment="1">
      <alignment horizontal="right"/>
    </xf>
    <xf numFmtId="167" fontId="12" fillId="5" borderId="0" xfId="0" applyNumberFormat="1" applyFont="1" applyFill="1" applyBorder="1" applyAlignment="1">
      <alignment horizontal="center"/>
    </xf>
    <xf numFmtId="167" fontId="12" fillId="0" borderId="0" xfId="1" applyNumberFormat="1" applyFont="1" applyFill="1" applyBorder="1" applyAlignment="1">
      <alignment horizontal="right"/>
    </xf>
    <xf numFmtId="167" fontId="13" fillId="11" borderId="7" xfId="1" applyNumberFormat="1" applyFont="1" applyFill="1" applyBorder="1" applyAlignment="1">
      <alignment horizontal="right"/>
    </xf>
    <xf numFmtId="167" fontId="12" fillId="0" borderId="12" xfId="1" applyNumberFormat="1" applyFont="1" applyFill="1" applyBorder="1" applyAlignment="1">
      <alignment horizontal="right"/>
    </xf>
    <xf numFmtId="167" fontId="12" fillId="0" borderId="18" xfId="1" applyNumberFormat="1" applyFont="1" applyBorder="1" applyAlignment="1">
      <alignment horizontal="right"/>
    </xf>
    <xf numFmtId="167" fontId="13" fillId="11" borderId="19" xfId="1" applyNumberFormat="1" applyFont="1" applyFill="1" applyBorder="1" applyAlignment="1">
      <alignment horizontal="right"/>
    </xf>
    <xf numFmtId="167" fontId="12" fillId="0" borderId="0" xfId="0" applyNumberFormat="1" applyFont="1" applyFill="1" applyBorder="1" applyAlignment="1">
      <alignment horizontal="right"/>
    </xf>
    <xf numFmtId="167" fontId="12" fillId="11" borderId="7" xfId="1" applyNumberFormat="1" applyFont="1" applyFill="1" applyBorder="1" applyAlignment="1">
      <alignment horizontal="right"/>
    </xf>
    <xf numFmtId="167" fontId="12" fillId="0" borderId="12" xfId="1" applyNumberFormat="1" applyFont="1" applyFill="1" applyBorder="1" applyAlignment="1">
      <alignment horizontal="right" indent="2"/>
    </xf>
    <xf numFmtId="167" fontId="12" fillId="0" borderId="0" xfId="1" applyNumberFormat="1" applyFont="1" applyFill="1" applyBorder="1" applyAlignment="1">
      <alignment horizontal="right" indent="2"/>
    </xf>
    <xf numFmtId="167" fontId="13" fillId="11" borderId="7" xfId="1" applyNumberFormat="1" applyFont="1" applyFill="1" applyBorder="1" applyAlignment="1">
      <alignment horizontal="right" indent="2"/>
    </xf>
    <xf numFmtId="167" fontId="12" fillId="0" borderId="12" xfId="1" applyNumberFormat="1" applyFont="1" applyBorder="1" applyAlignment="1">
      <alignment horizontal="right" indent="2"/>
    </xf>
    <xf numFmtId="167" fontId="12" fillId="0" borderId="0" xfId="1" applyNumberFormat="1" applyFont="1" applyBorder="1" applyAlignment="1">
      <alignment horizontal="right" indent="2"/>
    </xf>
    <xf numFmtId="167" fontId="12" fillId="11" borderId="19" xfId="1" applyNumberFormat="1" applyFont="1" applyFill="1" applyBorder="1" applyAlignment="1">
      <alignment horizontal="right"/>
    </xf>
    <xf numFmtId="167" fontId="13" fillId="0" borderId="0" xfId="0" applyNumberFormat="1" applyFont="1" applyFill="1" applyBorder="1" applyAlignment="1">
      <alignment horizontal="right"/>
    </xf>
    <xf numFmtId="167" fontId="23" fillId="0" borderId="7" xfId="1" applyNumberFormat="1" applyFont="1" applyBorder="1" applyAlignment="1">
      <alignment horizontal="right"/>
    </xf>
    <xf numFmtId="167" fontId="23" fillId="0" borderId="12" xfId="1" applyNumberFormat="1" applyFont="1" applyBorder="1" applyAlignment="1">
      <alignment horizontal="right"/>
    </xf>
    <xf numFmtId="167" fontId="13" fillId="0" borderId="0" xfId="1" applyNumberFormat="1" applyFont="1" applyFill="1" applyBorder="1" applyAlignment="1">
      <alignment horizontal="right"/>
    </xf>
    <xf numFmtId="167" fontId="23" fillId="0" borderId="0" xfId="1" applyNumberFormat="1" applyFont="1" applyBorder="1" applyAlignment="1">
      <alignment horizontal="right"/>
    </xf>
    <xf numFmtId="167" fontId="12" fillId="0" borderId="17" xfId="1" applyNumberFormat="1" applyFont="1" applyBorder="1" applyAlignment="1">
      <alignment horizontal="right"/>
    </xf>
    <xf numFmtId="167" fontId="12" fillId="0" borderId="23" xfId="1" applyNumberFormat="1" applyFont="1" applyBorder="1" applyAlignment="1">
      <alignment horizontal="right"/>
    </xf>
    <xf numFmtId="167" fontId="13" fillId="0" borderId="0" xfId="1" applyNumberFormat="1" applyFont="1" applyBorder="1" applyAlignment="1">
      <alignment horizontal="right"/>
    </xf>
    <xf numFmtId="167" fontId="13" fillId="11" borderId="9" xfId="1" applyNumberFormat="1" applyFont="1" applyFill="1" applyBorder="1" applyAlignment="1">
      <alignment horizontal="right"/>
    </xf>
    <xf numFmtId="167" fontId="12" fillId="0" borderId="14" xfId="1" applyNumberFormat="1" applyFont="1" applyBorder="1" applyAlignment="1">
      <alignment horizontal="right"/>
    </xf>
    <xf numFmtId="167" fontId="12" fillId="0" borderId="13" xfId="1" applyNumberFormat="1" applyFont="1" applyBorder="1" applyAlignment="1">
      <alignment horizontal="right"/>
    </xf>
    <xf numFmtId="167" fontId="12" fillId="11" borderId="10" xfId="1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right"/>
    </xf>
    <xf numFmtId="167" fontId="6" fillId="10" borderId="0" xfId="0" applyNumberFormat="1" applyFont="1" applyFill="1" applyBorder="1" applyAlignment="1">
      <alignment horizontal="right"/>
    </xf>
    <xf numFmtId="167" fontId="13" fillId="0" borderId="20" xfId="1" applyNumberFormat="1" applyFont="1" applyFill="1" applyBorder="1" applyAlignment="1">
      <alignment horizontal="right"/>
    </xf>
    <xf numFmtId="167" fontId="13" fillId="0" borderId="11" xfId="0" applyNumberFormat="1" applyFont="1" applyBorder="1" applyAlignment="1">
      <alignment horizontal="right"/>
    </xf>
    <xf numFmtId="167" fontId="13" fillId="7" borderId="6" xfId="0" applyNumberFormat="1" applyFont="1" applyFill="1" applyBorder="1" applyAlignment="1">
      <alignment horizontal="right"/>
    </xf>
    <xf numFmtId="167" fontId="13" fillId="7" borderId="7" xfId="0" applyNumberFormat="1" applyFont="1" applyFill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167" fontId="12" fillId="7" borderId="7" xfId="0" applyNumberFormat="1" applyFont="1" applyFill="1" applyBorder="1" applyAlignment="1">
      <alignment horizontal="right"/>
    </xf>
    <xf numFmtId="167" fontId="12" fillId="7" borderId="7" xfId="1" applyNumberFormat="1" applyFont="1" applyFill="1" applyBorder="1" applyAlignment="1">
      <alignment horizontal="right"/>
    </xf>
    <xf numFmtId="167" fontId="12" fillId="0" borderId="22" xfId="1" applyNumberFormat="1" applyFont="1" applyBorder="1" applyAlignment="1">
      <alignment horizontal="right"/>
    </xf>
    <xf numFmtId="167" fontId="13" fillId="7" borderId="7" xfId="1" applyNumberFormat="1" applyFont="1" applyFill="1" applyBorder="1" applyAlignment="1">
      <alignment horizontal="right"/>
    </xf>
    <xf numFmtId="167" fontId="17" fillId="0" borderId="22" xfId="1" applyNumberFormat="1" applyFont="1" applyBorder="1" applyAlignment="1">
      <alignment horizontal="right"/>
    </xf>
    <xf numFmtId="167" fontId="17" fillId="0" borderId="0" xfId="1" applyNumberFormat="1" applyFont="1" applyBorder="1" applyAlignment="1">
      <alignment horizontal="right"/>
    </xf>
    <xf numFmtId="167" fontId="22" fillId="7" borderId="7" xfId="1" applyNumberFormat="1" applyFont="1" applyFill="1" applyBorder="1" applyAlignment="1">
      <alignment horizontal="right"/>
    </xf>
    <xf numFmtId="167" fontId="17" fillId="0" borderId="0" xfId="1" applyNumberFormat="1" applyFont="1" applyFill="1" applyBorder="1" applyAlignment="1">
      <alignment horizontal="right"/>
    </xf>
    <xf numFmtId="167" fontId="12" fillId="0" borderId="21" xfId="1" applyNumberFormat="1" applyFont="1" applyBorder="1" applyAlignment="1">
      <alignment horizontal="right"/>
    </xf>
    <xf numFmtId="167" fontId="13" fillId="7" borderId="19" xfId="1" applyNumberFormat="1" applyFont="1" applyFill="1" applyBorder="1" applyAlignment="1">
      <alignment horizontal="right"/>
    </xf>
    <xf numFmtId="167" fontId="17" fillId="0" borderId="12" xfId="1" applyNumberFormat="1" applyFont="1" applyBorder="1" applyAlignment="1">
      <alignment horizontal="right"/>
    </xf>
    <xf numFmtId="167" fontId="17" fillId="7" borderId="7" xfId="1" applyNumberFormat="1" applyFont="1" applyFill="1" applyBorder="1" applyAlignment="1">
      <alignment horizontal="right"/>
    </xf>
    <xf numFmtId="167" fontId="12" fillId="0" borderId="18" xfId="1" applyNumberFormat="1" applyFont="1" applyFill="1" applyBorder="1" applyAlignment="1">
      <alignment horizontal="right"/>
    </xf>
    <xf numFmtId="167" fontId="13" fillId="7" borderId="9" xfId="1" applyNumberFormat="1" applyFont="1" applyFill="1" applyBorder="1" applyAlignment="1">
      <alignment horizontal="right"/>
    </xf>
    <xf numFmtId="167" fontId="12" fillId="0" borderId="14" xfId="0" applyNumberFormat="1" applyFont="1" applyBorder="1" applyAlignment="1">
      <alignment horizontal="right"/>
    </xf>
    <xf numFmtId="167" fontId="12" fillId="0" borderId="13" xfId="0" applyNumberFormat="1" applyFont="1" applyBorder="1" applyAlignment="1">
      <alignment horizontal="right"/>
    </xf>
    <xf numFmtId="167" fontId="12" fillId="7" borderId="10" xfId="0" applyNumberFormat="1" applyFont="1" applyFill="1" applyBorder="1" applyAlignment="1">
      <alignment horizontal="right"/>
    </xf>
    <xf numFmtId="167" fontId="13" fillId="0" borderId="0" xfId="0" applyNumberFormat="1" applyFont="1" applyFill="1" applyAlignment="1">
      <alignment horizontal="right"/>
    </xf>
    <xf numFmtId="167" fontId="12" fillId="3" borderId="0" xfId="0" applyNumberFormat="1" applyFont="1" applyFill="1" applyBorder="1" applyAlignment="1">
      <alignment horizontal="right"/>
    </xf>
    <xf numFmtId="167" fontId="12" fillId="4" borderId="0" xfId="0" applyNumberFormat="1" applyFont="1" applyFill="1" applyBorder="1" applyAlignment="1">
      <alignment horizontal="right"/>
    </xf>
    <xf numFmtId="167" fontId="12" fillId="4" borderId="0" xfId="2" applyNumberFormat="1" applyFont="1" applyFill="1" applyBorder="1" applyAlignment="1">
      <alignment horizontal="right"/>
    </xf>
    <xf numFmtId="167" fontId="12" fillId="11" borderId="0" xfId="1" applyNumberFormat="1" applyFont="1" applyFill="1" applyBorder="1" applyAlignment="1">
      <alignment horizontal="right"/>
    </xf>
    <xf numFmtId="167" fontId="12" fillId="11" borderId="13" xfId="1" applyNumberFormat="1" applyFont="1" applyFill="1" applyBorder="1" applyAlignment="1">
      <alignment horizontal="right"/>
    </xf>
    <xf numFmtId="167" fontId="13" fillId="7" borderId="11" xfId="0" applyNumberFormat="1" applyFont="1" applyFill="1" applyBorder="1" applyAlignment="1">
      <alignment horizontal="right"/>
    </xf>
    <xf numFmtId="167" fontId="13" fillId="7" borderId="0" xfId="0" applyNumberFormat="1" applyFont="1" applyFill="1" applyBorder="1" applyAlignment="1">
      <alignment horizontal="right"/>
    </xf>
    <xf numFmtId="167" fontId="12" fillId="7" borderId="0" xfId="0" applyNumberFormat="1" applyFont="1" applyFill="1" applyBorder="1" applyAlignment="1">
      <alignment horizontal="right"/>
    </xf>
    <xf numFmtId="167" fontId="12" fillId="7" borderId="0" xfId="1" applyNumberFormat="1" applyFont="1" applyFill="1" applyBorder="1" applyAlignment="1">
      <alignment horizontal="right"/>
    </xf>
    <xf numFmtId="167" fontId="12" fillId="7" borderId="18" xfId="1" applyNumberFormat="1" applyFont="1" applyFill="1" applyBorder="1" applyAlignment="1">
      <alignment horizontal="right"/>
    </xf>
    <xf numFmtId="167" fontId="17" fillId="7" borderId="0" xfId="1" applyNumberFormat="1" applyFont="1" applyFill="1" applyBorder="1" applyAlignment="1">
      <alignment horizontal="right"/>
    </xf>
    <xf numFmtId="167" fontId="12" fillId="7" borderId="13" xfId="0" applyNumberFormat="1" applyFont="1" applyFill="1" applyBorder="1" applyAlignment="1">
      <alignment horizontal="right"/>
    </xf>
    <xf numFmtId="168" fontId="12" fillId="11" borderId="12" xfId="3" applyNumberFormat="1" applyFont="1" applyFill="1" applyBorder="1" applyAlignment="1">
      <alignment horizontal="right"/>
    </xf>
    <xf numFmtId="168" fontId="12" fillId="11" borderId="12" xfId="1" applyNumberFormat="1" applyFont="1" applyFill="1" applyBorder="1" applyAlignment="1">
      <alignment horizontal="right"/>
    </xf>
    <xf numFmtId="168" fontId="12" fillId="11" borderId="14" xfId="1" applyNumberFormat="1" applyFont="1" applyFill="1" applyBorder="1" applyAlignment="1">
      <alignment horizontal="right"/>
    </xf>
    <xf numFmtId="168" fontId="12" fillId="0" borderId="0" xfId="1" applyNumberFormat="1" applyFont="1" applyBorder="1" applyAlignment="1">
      <alignment horizontal="right"/>
    </xf>
    <xf numFmtId="168" fontId="6" fillId="10" borderId="0" xfId="0" applyNumberFormat="1" applyFont="1" applyFill="1" applyBorder="1" applyAlignment="1">
      <alignment horizontal="right"/>
    </xf>
    <xf numFmtId="168" fontId="13" fillId="7" borderId="15" xfId="0" applyNumberFormat="1" applyFont="1" applyFill="1" applyBorder="1" applyAlignment="1">
      <alignment horizontal="right"/>
    </xf>
    <xf numFmtId="168" fontId="13" fillId="7" borderId="12" xfId="0" applyNumberFormat="1" applyFont="1" applyFill="1" applyBorder="1" applyAlignment="1">
      <alignment horizontal="right"/>
    </xf>
    <xf numFmtId="168" fontId="12" fillId="7" borderId="12" xfId="0" applyNumberFormat="1" applyFont="1" applyFill="1" applyBorder="1" applyAlignment="1">
      <alignment horizontal="right"/>
    </xf>
    <xf numFmtId="168" fontId="12" fillId="7" borderId="12" xfId="1" applyNumberFormat="1" applyFont="1" applyFill="1" applyBorder="1" applyAlignment="1">
      <alignment horizontal="right"/>
    </xf>
    <xf numFmtId="168" fontId="12" fillId="11" borderId="16" xfId="0" applyNumberFormat="1" applyFont="1" applyFill="1" applyBorder="1" applyAlignment="1">
      <alignment horizontal="right"/>
    </xf>
    <xf numFmtId="168" fontId="12" fillId="7" borderId="12" xfId="3" applyNumberFormat="1" applyFont="1" applyFill="1" applyBorder="1" applyAlignment="1">
      <alignment horizontal="right"/>
    </xf>
    <xf numFmtId="168" fontId="17" fillId="7" borderId="12" xfId="1" applyNumberFormat="1" applyFont="1" applyFill="1" applyBorder="1" applyAlignment="1">
      <alignment horizontal="right"/>
    </xf>
    <xf numFmtId="168" fontId="12" fillId="7" borderId="14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44" fontId="4" fillId="0" borderId="0" xfId="0" applyNumberFormat="1" applyFont="1" applyBorder="1"/>
    <xf numFmtId="0" fontId="4" fillId="16" borderId="0" xfId="0" applyFont="1" applyFill="1"/>
    <xf numFmtId="44" fontId="4" fillId="0" borderId="0" xfId="2" applyFont="1" applyBorder="1" applyAlignment="1">
      <alignment horizontal="right"/>
    </xf>
    <xf numFmtId="0" fontId="4" fillId="16" borderId="0" xfId="0" applyFont="1" applyFill="1" applyAlignment="1">
      <alignment horizontal="left"/>
    </xf>
    <xf numFmtId="0" fontId="4" fillId="8" borderId="0" xfId="0" applyFont="1" applyFill="1"/>
    <xf numFmtId="0" fontId="27" fillId="8" borderId="0" xfId="0" applyFont="1" applyFill="1"/>
    <xf numFmtId="44" fontId="4" fillId="0" borderId="0" xfId="2" applyFont="1" applyAlignment="1">
      <alignment horizontal="left"/>
    </xf>
    <xf numFmtId="0" fontId="4" fillId="0" borderId="0" xfId="0" applyFont="1" applyFill="1"/>
    <xf numFmtId="0" fontId="9" fillId="0" borderId="0" xfId="0" applyFont="1" applyFill="1"/>
    <xf numFmtId="0" fontId="4" fillId="0" borderId="0" xfId="0" applyFont="1" applyBorder="1"/>
    <xf numFmtId="44" fontId="10" fillId="0" borderId="23" xfId="2" applyFont="1" applyFill="1" applyBorder="1" applyAlignment="1">
      <alignment horizontal="right"/>
    </xf>
    <xf numFmtId="0" fontId="28" fillId="0" borderId="0" xfId="0" applyFont="1"/>
    <xf numFmtId="43" fontId="28" fillId="0" borderId="0" xfId="0" applyNumberFormat="1" applyFont="1"/>
    <xf numFmtId="0" fontId="9" fillId="3" borderId="0" xfId="0" applyFont="1" applyFill="1"/>
    <xf numFmtId="0" fontId="4" fillId="3" borderId="0" xfId="0" applyFont="1" applyFill="1"/>
    <xf numFmtId="44" fontId="28" fillId="0" borderId="0" xfId="2" applyFont="1"/>
    <xf numFmtId="0" fontId="27" fillId="3" borderId="0" xfId="0" applyFont="1" applyFill="1"/>
    <xf numFmtId="0" fontId="0" fillId="5" borderId="0" xfId="0" applyFill="1"/>
    <xf numFmtId="0" fontId="29" fillId="0" borderId="0" xfId="0" applyFont="1" applyFill="1"/>
    <xf numFmtId="43" fontId="29" fillId="0" borderId="0" xfId="0" applyNumberFormat="1" applyFont="1" applyFill="1"/>
    <xf numFmtId="167" fontId="13" fillId="11" borderId="7" xfId="0" applyNumberFormat="1" applyFont="1" applyFill="1" applyBorder="1"/>
    <xf numFmtId="0" fontId="30" fillId="0" borderId="0" xfId="0" applyFont="1" applyBorder="1" applyAlignment="1">
      <alignment horizontal="left"/>
    </xf>
    <xf numFmtId="43" fontId="4" fillId="0" borderId="0" xfId="1" applyFont="1" applyBorder="1" applyAlignment="1">
      <alignment horizontal="right"/>
    </xf>
    <xf numFmtId="43" fontId="12" fillId="0" borderId="0" xfId="0" applyNumberFormat="1" applyFont="1"/>
    <xf numFmtId="44" fontId="4" fillId="0" borderId="0" xfId="0" applyNumberFormat="1" applyFont="1"/>
    <xf numFmtId="0" fontId="17" fillId="0" borderId="0" xfId="0" applyFont="1" applyAlignment="1">
      <alignment horizontal="right"/>
    </xf>
    <xf numFmtId="168" fontId="17" fillId="0" borderId="0" xfId="3" applyNumberFormat="1" applyFont="1" applyBorder="1" applyAlignment="1">
      <alignment horizontal="right"/>
    </xf>
    <xf numFmtId="167" fontId="22" fillId="0" borderId="0" xfId="0" applyNumberFormat="1" applyFont="1" applyBorder="1" applyAlignment="1">
      <alignment horizontal="right"/>
    </xf>
    <xf numFmtId="43" fontId="17" fillId="0" borderId="0" xfId="1" applyFont="1" applyBorder="1" applyAlignment="1">
      <alignment horizontal="right"/>
    </xf>
    <xf numFmtId="167" fontId="22" fillId="0" borderId="0" xfId="0" applyNumberFormat="1" applyFont="1" applyFill="1" applyBorder="1" applyAlignment="1">
      <alignment horizontal="right"/>
    </xf>
    <xf numFmtId="168" fontId="17" fillId="0" borderId="0" xfId="1" applyNumberFormat="1" applyFont="1" applyBorder="1" applyAlignment="1">
      <alignment horizontal="right"/>
    </xf>
    <xf numFmtId="168" fontId="12" fillId="0" borderId="0" xfId="3" applyNumberFormat="1" applyFont="1"/>
    <xf numFmtId="167" fontId="12" fillId="0" borderId="12" xfId="1" applyNumberFormat="1" applyFont="1" applyBorder="1" applyAlignment="1">
      <alignment horizontal="center"/>
    </xf>
    <xf numFmtId="167" fontId="17" fillId="0" borderId="7" xfId="1" applyNumberFormat="1" applyFont="1" applyFill="1" applyBorder="1" applyAlignment="1">
      <alignment horizontal="right"/>
    </xf>
    <xf numFmtId="6" fontId="10" fillId="0" borderId="23" xfId="2" applyNumberFormat="1" applyFont="1" applyBorder="1"/>
    <xf numFmtId="0" fontId="4" fillId="16" borderId="0" xfId="0" applyFont="1" applyFill="1" applyBorder="1"/>
    <xf numFmtId="43" fontId="4" fillId="6" borderId="25" xfId="1" applyFont="1" applyFill="1" applyBorder="1" applyAlignment="1">
      <alignment horizontal="center"/>
    </xf>
    <xf numFmtId="0" fontId="6" fillId="6" borderId="0" xfId="0" applyFont="1" applyFill="1" applyBorder="1" applyAlignment="1">
      <alignment horizontal="right"/>
    </xf>
    <xf numFmtId="43" fontId="4" fillId="0" borderId="0" xfId="1" applyFont="1" applyBorder="1"/>
    <xf numFmtId="43" fontId="4" fillId="0" borderId="0" xfId="0" applyNumberFormat="1" applyFont="1" applyBorder="1"/>
    <xf numFmtId="0" fontId="25" fillId="0" borderId="0" xfId="0" applyFont="1" applyBorder="1"/>
    <xf numFmtId="0" fontId="11" fillId="0" borderId="0" xfId="0" applyFont="1" applyBorder="1"/>
    <xf numFmtId="44" fontId="10" fillId="0" borderId="0" xfId="2" applyFont="1" applyBorder="1"/>
    <xf numFmtId="0" fontId="27" fillId="8" borderId="0" xfId="0" applyFont="1" applyFill="1" applyBorder="1"/>
    <xf numFmtId="0" fontId="4" fillId="8" borderId="0" xfId="0" applyFont="1" applyFill="1" applyBorder="1"/>
    <xf numFmtId="0" fontId="4" fillId="16" borderId="0" xfId="0" applyFont="1" applyFill="1" applyBorder="1" applyAlignment="1">
      <alignment horizontal="center"/>
    </xf>
    <xf numFmtId="0" fontId="4" fillId="16" borderId="0" xfId="0" applyFont="1" applyFill="1" applyBorder="1" applyAlignment="1">
      <alignment horizontal="right"/>
    </xf>
    <xf numFmtId="10" fontId="4" fillId="0" borderId="0" xfId="0" applyNumberFormat="1" applyFont="1" applyBorder="1" applyAlignment="1">
      <alignment horizontal="center"/>
    </xf>
    <xf numFmtId="10" fontId="4" fillId="0" borderId="0" xfId="3" applyNumberFormat="1" applyFont="1" applyBorder="1" applyAlignment="1">
      <alignment horizontal="center"/>
    </xf>
    <xf numFmtId="44" fontId="4" fillId="0" borderId="0" xfId="2" applyFont="1" applyBorder="1" applyAlignment="1">
      <alignment horizontal="center"/>
    </xf>
    <xf numFmtId="44" fontId="4" fillId="0" borderId="0" xfId="2" applyFont="1" applyBorder="1"/>
    <xf numFmtId="44" fontId="4" fillId="0" borderId="0" xfId="3" applyNumberFormat="1" applyFont="1" applyBorder="1" applyAlignment="1">
      <alignment horizontal="center"/>
    </xf>
    <xf numFmtId="0" fontId="8" fillId="8" borderId="0" xfId="0" applyFont="1" applyFill="1" applyBorder="1"/>
    <xf numFmtId="0" fontId="4" fillId="16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10" fontId="30" fillId="0" borderId="0" xfId="0" applyNumberFormat="1" applyFont="1" applyBorder="1" applyAlignment="1">
      <alignment horizontal="center"/>
    </xf>
    <xf numFmtId="10" fontId="30" fillId="0" borderId="0" xfId="3" applyNumberFormat="1" applyFont="1" applyBorder="1" applyAlignment="1">
      <alignment horizontal="center"/>
    </xf>
    <xf numFmtId="44" fontId="30" fillId="0" borderId="0" xfId="3" applyNumberFormat="1" applyFont="1" applyBorder="1" applyAlignment="1">
      <alignment horizontal="center"/>
    </xf>
    <xf numFmtId="44" fontId="30" fillId="0" borderId="0" xfId="2" applyFont="1" applyBorder="1"/>
    <xf numFmtId="44" fontId="4" fillId="16" borderId="0" xfId="0" applyNumberFormat="1" applyFont="1" applyFill="1" applyBorder="1"/>
    <xf numFmtId="44" fontId="25" fillId="0" borderId="0" xfId="2" applyFont="1" applyBorder="1"/>
    <xf numFmtId="44" fontId="25" fillId="0" borderId="0" xfId="0" applyNumberFormat="1" applyFont="1" applyBorder="1"/>
    <xf numFmtId="43" fontId="10" fillId="0" borderId="0" xfId="1" applyFont="1" applyFill="1" applyBorder="1"/>
    <xf numFmtId="166" fontId="4" fillId="0" borderId="0" xfId="0" applyNumberFormat="1" applyFont="1" applyBorder="1"/>
    <xf numFmtId="0" fontId="7" fillId="0" borderId="0" xfId="0" applyFont="1" applyBorder="1"/>
    <xf numFmtId="44" fontId="25" fillId="0" borderId="0" xfId="2" applyFont="1" applyBorder="1" applyAlignment="1">
      <alignment horizontal="right"/>
    </xf>
    <xf numFmtId="43" fontId="25" fillId="0" borderId="0" xfId="0" applyNumberFormat="1" applyFont="1" applyBorder="1" applyAlignment="1">
      <alignment horizontal="right"/>
    </xf>
    <xf numFmtId="43" fontId="4" fillId="16" borderId="0" xfId="0" applyNumberFormat="1" applyFont="1" applyFill="1" applyBorder="1" applyAlignment="1">
      <alignment horizontal="left"/>
    </xf>
    <xf numFmtId="44" fontId="5" fillId="0" borderId="0" xfId="2" applyFont="1" applyBorder="1"/>
    <xf numFmtId="2" fontId="4" fillId="0" borderId="0" xfId="0" applyNumberFormat="1" applyFont="1" applyBorder="1"/>
    <xf numFmtId="0" fontId="6" fillId="6" borderId="0" xfId="0" applyFont="1" applyFill="1" applyBorder="1"/>
    <xf numFmtId="0" fontId="30" fillId="0" borderId="0" xfId="0" applyFont="1" applyBorder="1"/>
    <xf numFmtId="43" fontId="30" fillId="0" borderId="0" xfId="1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168" fontId="4" fillId="6" borderId="25" xfId="3" applyNumberFormat="1" applyFont="1" applyFill="1" applyBorder="1" applyAlignment="1">
      <alignment horizontal="right"/>
    </xf>
    <xf numFmtId="168" fontId="4" fillId="6" borderId="25" xfId="3" applyNumberFormat="1" applyFont="1" applyFill="1" applyBorder="1" applyAlignment="1">
      <alignment horizontal="left"/>
    </xf>
    <xf numFmtId="10" fontId="4" fillId="0" borderId="0" xfId="0" applyNumberFormat="1" applyFont="1" applyBorder="1" applyAlignment="1">
      <alignment horizontal="left"/>
    </xf>
    <xf numFmtId="44" fontId="4" fillId="0" borderId="0" xfId="2" applyFont="1" applyBorder="1" applyAlignment="1">
      <alignment horizontal="left"/>
    </xf>
    <xf numFmtId="44" fontId="10" fillId="0" borderId="0" xfId="0" applyNumberFormat="1" applyFont="1" applyFill="1" applyBorder="1"/>
    <xf numFmtId="167" fontId="12" fillId="11" borderId="0" xfId="1" applyNumberFormat="1" applyFont="1" applyFill="1" applyBorder="1" applyAlignment="1">
      <alignment horizontal="center"/>
    </xf>
    <xf numFmtId="43" fontId="4" fillId="6" borderId="32" xfId="1" applyFont="1" applyFill="1" applyBorder="1" applyAlignment="1">
      <alignment horizontal="right"/>
    </xf>
    <xf numFmtId="165" fontId="4" fillId="13" borderId="34" xfId="0" applyNumberFormat="1" applyFont="1" applyFill="1" applyBorder="1" applyAlignment="1">
      <alignment horizontal="right"/>
    </xf>
    <xf numFmtId="168" fontId="4" fillId="6" borderId="35" xfId="3" applyNumberFormat="1" applyFont="1" applyFill="1" applyBorder="1" applyAlignment="1">
      <alignment horizontal="right"/>
    </xf>
    <xf numFmtId="165" fontId="4" fillId="13" borderId="33" xfId="0" applyNumberFormat="1" applyFont="1" applyFill="1" applyBorder="1" applyAlignment="1">
      <alignment horizontal="right"/>
    </xf>
    <xf numFmtId="168" fontId="4" fillId="6" borderId="36" xfId="3" applyNumberFormat="1" applyFont="1" applyFill="1" applyBorder="1" applyAlignment="1">
      <alignment horizontal="right"/>
    </xf>
    <xf numFmtId="168" fontId="4" fillId="0" borderId="0" xfId="3" applyNumberFormat="1" applyFont="1" applyAlignment="1">
      <alignment horizontal="right"/>
    </xf>
    <xf numFmtId="10" fontId="4" fillId="6" borderId="31" xfId="3" applyNumberFormat="1" applyFont="1" applyFill="1" applyBorder="1" applyAlignment="1">
      <alignment horizontal="right"/>
    </xf>
  </cellXfs>
  <cellStyles count="8">
    <cellStyle name="Comma" xfId="1" builtinId="3"/>
    <cellStyle name="Currency" xfId="2" builtinId="4"/>
    <cellStyle name="Followed Hyperlink" xfId="5" builtinId="9" hidden="1"/>
    <cellStyle name="Followed Hyperlink" xfId="7" builtinId="9" hidden="1"/>
    <cellStyle name="Hyperlink" xfId="4" builtinId="8" hidden="1"/>
    <cellStyle name="Hyperlink" xfId="6" builtinId="8" hidden="1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18</xdr:col>
      <xdr:colOff>0</xdr:colOff>
      <xdr:row>2</xdr:row>
      <xdr:rowOff>10583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2202554" y="275167"/>
          <a:ext cx="6645113" cy="10583"/>
        </a:xfrm>
        <a:prstGeom prst="line">
          <a:avLst/>
        </a:prstGeom>
        <a:ln w="28575">
          <a:solidFill>
            <a:schemeClr val="tx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5291</xdr:colOff>
      <xdr:row>1</xdr:row>
      <xdr:rowOff>22679</xdr:rowOff>
    </xdr:from>
    <xdr:to>
      <xdr:col>20</xdr:col>
      <xdr:colOff>912090</xdr:colOff>
      <xdr:row>3</xdr:row>
      <xdr:rowOff>168519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291" y="22679"/>
          <a:ext cx="12048163" cy="70002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US" sz="1400" b="1"/>
            <a:t>                 </a:t>
          </a:r>
          <a:r>
            <a:rPr lang="en-US" sz="1400" b="1" baseline="0"/>
            <a:t> </a:t>
          </a:r>
          <a:r>
            <a:rPr lang="en-US" sz="1400" b="1">
              <a:latin typeface="Arial Black" panose="020B0A04020102020204" pitchFamily="34" charset="0"/>
            </a:rPr>
            <a:t>MARIN LOCAL AGENCY</a:t>
          </a:r>
          <a:r>
            <a:rPr lang="en-US" sz="1400" b="1" baseline="0">
              <a:latin typeface="Arial Black" panose="020B0A04020102020204" pitchFamily="34" charset="0"/>
            </a:rPr>
            <a:t> FORMATION COMMISSION </a:t>
          </a:r>
        </a:p>
        <a:p>
          <a:pPr algn="l"/>
          <a:r>
            <a:rPr lang="en-US" sz="1400" b="0" baseline="0"/>
            <a:t>                  Regional Service Planning | State of California </a:t>
          </a:r>
          <a:endParaRPr lang="en-US" sz="1400" b="0"/>
        </a:p>
      </xdr:txBody>
    </xdr:sp>
    <xdr:clientData/>
  </xdr:twoCellAnchor>
  <xdr:twoCellAnchor>
    <xdr:from>
      <xdr:col>1</xdr:col>
      <xdr:colOff>289832</xdr:colOff>
      <xdr:row>2</xdr:row>
      <xdr:rowOff>76201</xdr:rowOff>
    </xdr:from>
    <xdr:to>
      <xdr:col>20</xdr:col>
      <xdr:colOff>912090</xdr:colOff>
      <xdr:row>2</xdr:row>
      <xdr:rowOff>84054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>
          <a:endCxn id="6" idx="3"/>
        </xdr:cNvCxnSpPr>
      </xdr:nvCxnSpPr>
      <xdr:spPr>
        <a:xfrm>
          <a:off x="844014" y="364837"/>
          <a:ext cx="11209440" cy="7853"/>
        </a:xfrm>
        <a:prstGeom prst="line">
          <a:avLst/>
        </a:prstGeom>
        <a:ln w="1905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69081</xdr:colOff>
      <xdr:row>1</xdr:row>
      <xdr:rowOff>76931</xdr:rowOff>
    </xdr:from>
    <xdr:to>
      <xdr:col>1</xdr:col>
      <xdr:colOff>168213</xdr:colOff>
      <xdr:row>3</xdr:row>
      <xdr:rowOff>110950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81" y="84258"/>
          <a:ext cx="585640" cy="5395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B144"/>
  <sheetViews>
    <sheetView topLeftCell="A2" zoomScale="110" zoomScaleNormal="110" zoomScaleSheetLayoutView="110" workbookViewId="0">
      <selection activeCell="T20" sqref="T20"/>
    </sheetView>
  </sheetViews>
  <sheetFormatPr baseColWidth="10" defaultColWidth="9.1640625" defaultRowHeight="11"/>
  <cols>
    <col min="1" max="1" width="7.33203125" style="24" customWidth="1"/>
    <col min="2" max="2" width="25.83203125" style="24" customWidth="1"/>
    <col min="3" max="3" width="0.6640625" style="25" customWidth="1"/>
    <col min="4" max="4" width="9.6640625" style="26" bestFit="1" customWidth="1"/>
    <col min="5" max="5" width="9.83203125" style="26" customWidth="1"/>
    <col min="6" max="6" width="0.83203125" style="26" customWidth="1"/>
    <col min="7" max="7" width="9.6640625" style="25" bestFit="1" customWidth="1"/>
    <col min="8" max="8" width="10.1640625" style="24" customWidth="1"/>
    <col min="9" max="9" width="0.83203125" style="27" customWidth="1"/>
    <col min="10" max="10" width="9.6640625" style="27" bestFit="1" customWidth="1"/>
    <col min="11" max="11" width="9.83203125" style="27" customWidth="1"/>
    <col min="12" max="12" width="11.33203125" style="27" customWidth="1"/>
    <col min="13" max="13" width="0.83203125" style="27" customWidth="1"/>
    <col min="14" max="14" width="10" style="27" customWidth="1"/>
    <col min="15" max="15" width="8.83203125" style="27" bestFit="1" customWidth="1"/>
    <col min="16" max="16" width="10.5" style="27" bestFit="1" customWidth="1"/>
    <col min="17" max="17" width="0.83203125" style="27" customWidth="1"/>
    <col min="18" max="18" width="9" style="27" bestFit="1" customWidth="1"/>
    <col min="19" max="19" width="0.6640625" style="24" customWidth="1"/>
    <col min="20" max="20" width="6.5" style="24" bestFit="1" customWidth="1"/>
    <col min="21" max="21" width="12" style="24" bestFit="1" customWidth="1"/>
    <col min="22" max="23" width="11" style="24" bestFit="1" customWidth="1"/>
    <col min="24" max="24" width="12" style="24" bestFit="1" customWidth="1"/>
    <col min="25" max="28" width="9.1640625" style="24"/>
    <col min="29" max="29" width="23" style="24" customWidth="1"/>
    <col min="30" max="32" width="12.33203125" style="24" bestFit="1" customWidth="1"/>
    <col min="33" max="16384" width="9.1640625" style="24"/>
  </cols>
  <sheetData>
    <row r="1" spans="1:23" ht="0.75" customHeight="1"/>
    <row r="2" spans="1:23" ht="23">
      <c r="B2" s="29" t="s">
        <v>32</v>
      </c>
      <c r="F2" s="30"/>
      <c r="T2" s="31"/>
    </row>
    <row r="3" spans="1:23" ht="21">
      <c r="B3" s="32" t="s">
        <v>33</v>
      </c>
      <c r="F3" s="30"/>
      <c r="T3" s="31"/>
    </row>
    <row r="4" spans="1:23" ht="14.25" customHeight="1">
      <c r="B4" s="33"/>
      <c r="F4" s="30"/>
      <c r="T4" s="34"/>
    </row>
    <row r="5" spans="1:23" ht="4.5" customHeight="1">
      <c r="B5" s="33"/>
      <c r="F5" s="30"/>
      <c r="T5" s="34"/>
    </row>
    <row r="6" spans="1:23" ht="18">
      <c r="A6" s="35" t="s">
        <v>30</v>
      </c>
      <c r="B6" s="36"/>
      <c r="C6" s="30"/>
      <c r="D6" s="37"/>
      <c r="E6" s="38" t="s">
        <v>35</v>
      </c>
      <c r="F6" s="288"/>
      <c r="G6" s="37"/>
      <c r="H6" s="38" t="s">
        <v>37</v>
      </c>
      <c r="I6" s="39"/>
      <c r="J6" s="37"/>
      <c r="K6" s="37"/>
      <c r="L6" s="38" t="s">
        <v>41</v>
      </c>
      <c r="M6" s="39"/>
      <c r="N6" s="37"/>
      <c r="O6" s="37"/>
      <c r="P6" s="38" t="s">
        <v>48</v>
      </c>
      <c r="Q6" s="39"/>
      <c r="R6" s="98"/>
      <c r="S6" s="98"/>
      <c r="T6" s="98"/>
      <c r="U6" s="98" t="s">
        <v>186</v>
      </c>
      <c r="V6" s="1"/>
      <c r="W6" s="289"/>
    </row>
    <row r="7" spans="1:23" ht="3.75" customHeight="1" thickBot="1">
      <c r="A7" s="33"/>
      <c r="C7" s="40"/>
      <c r="D7" s="40"/>
      <c r="F7" s="30"/>
      <c r="G7" s="40"/>
      <c r="H7" s="40"/>
      <c r="I7" s="41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</row>
    <row r="8" spans="1:23">
      <c r="C8" s="40"/>
      <c r="D8" s="42" t="s">
        <v>13</v>
      </c>
      <c r="E8" s="43" t="s">
        <v>43</v>
      </c>
      <c r="F8" s="40"/>
      <c r="G8" s="42" t="s">
        <v>13</v>
      </c>
      <c r="H8" s="43" t="s">
        <v>43</v>
      </c>
      <c r="I8" s="44"/>
      <c r="J8" s="42" t="s">
        <v>13</v>
      </c>
      <c r="K8" s="129" t="s">
        <v>154</v>
      </c>
      <c r="L8" s="43" t="s">
        <v>45</v>
      </c>
      <c r="M8" s="40"/>
      <c r="N8" s="42" t="s">
        <v>13</v>
      </c>
      <c r="O8" s="129" t="s">
        <v>154</v>
      </c>
      <c r="P8" s="43" t="s">
        <v>45</v>
      </c>
      <c r="Q8" s="129"/>
      <c r="R8" s="105" t="s">
        <v>217</v>
      </c>
      <c r="S8" s="106"/>
      <c r="T8" s="106"/>
      <c r="U8" s="107"/>
    </row>
    <row r="9" spans="1:23" ht="12" customHeight="1">
      <c r="C9" s="40"/>
      <c r="D9" s="45" t="s">
        <v>34</v>
      </c>
      <c r="E9" s="46" t="s">
        <v>34</v>
      </c>
      <c r="F9" s="40"/>
      <c r="G9" s="45" t="s">
        <v>40</v>
      </c>
      <c r="H9" s="46" t="s">
        <v>40</v>
      </c>
      <c r="I9" s="44"/>
      <c r="J9" s="45" t="s">
        <v>42</v>
      </c>
      <c r="K9" s="40" t="s">
        <v>42</v>
      </c>
      <c r="L9" s="46" t="s">
        <v>42</v>
      </c>
      <c r="M9" s="40"/>
      <c r="N9" s="45" t="s">
        <v>46</v>
      </c>
      <c r="O9" s="40" t="s">
        <v>46</v>
      </c>
      <c r="P9" s="46" t="s">
        <v>46</v>
      </c>
      <c r="Q9" s="40"/>
      <c r="R9" s="108" t="s">
        <v>185</v>
      </c>
      <c r="S9" s="109"/>
      <c r="T9" s="109"/>
      <c r="U9" s="110"/>
    </row>
    <row r="10" spans="1:23" ht="15">
      <c r="A10" s="125" t="s">
        <v>20</v>
      </c>
      <c r="C10" s="30"/>
      <c r="D10" s="47"/>
      <c r="E10" s="48"/>
      <c r="F10" s="40"/>
      <c r="G10" s="47"/>
      <c r="H10" s="49"/>
      <c r="I10" s="50"/>
      <c r="J10" s="47"/>
      <c r="K10" s="30"/>
      <c r="L10" s="49"/>
      <c r="M10" s="30"/>
      <c r="N10" s="47"/>
      <c r="O10" s="30"/>
      <c r="P10" s="49"/>
      <c r="Q10" s="30"/>
      <c r="R10" s="111"/>
      <c r="S10" s="112"/>
      <c r="T10" s="112"/>
      <c r="U10" s="113"/>
    </row>
    <row r="11" spans="1:23" ht="3.75" customHeight="1">
      <c r="A11" s="33"/>
      <c r="C11" s="30"/>
      <c r="D11" s="47"/>
      <c r="E11" s="46"/>
      <c r="F11" s="40"/>
      <c r="G11" s="47"/>
      <c r="H11" s="49"/>
      <c r="I11" s="50"/>
      <c r="J11" s="47"/>
      <c r="K11" s="30"/>
      <c r="L11" s="49"/>
      <c r="M11" s="30"/>
      <c r="N11" s="47"/>
      <c r="O11" s="30"/>
      <c r="P11" s="49"/>
      <c r="Q11" s="30"/>
      <c r="R11" s="111"/>
      <c r="S11" s="112"/>
      <c r="T11" s="112"/>
      <c r="U11" s="113"/>
    </row>
    <row r="12" spans="1:23">
      <c r="A12" s="52" t="s">
        <v>4</v>
      </c>
      <c r="B12" s="52" t="s">
        <v>5</v>
      </c>
      <c r="C12" s="30"/>
      <c r="D12" s="47"/>
      <c r="E12" s="46"/>
      <c r="F12" s="30"/>
      <c r="G12" s="47"/>
      <c r="H12" s="49"/>
      <c r="I12" s="50"/>
      <c r="J12" s="47"/>
      <c r="K12" s="30"/>
      <c r="L12" s="49"/>
      <c r="M12" s="30"/>
      <c r="N12" s="47"/>
      <c r="O12" s="30"/>
      <c r="P12" s="49"/>
      <c r="Q12" s="30"/>
      <c r="R12" s="111"/>
      <c r="S12" s="112"/>
      <c r="T12" s="117"/>
      <c r="U12" s="118" t="s">
        <v>47</v>
      </c>
    </row>
    <row r="13" spans="1:23">
      <c r="A13" s="28">
        <v>5110110</v>
      </c>
      <c r="B13" s="24" t="s">
        <v>189</v>
      </c>
      <c r="C13" s="53"/>
      <c r="D13" s="176">
        <v>189883.89</v>
      </c>
      <c r="E13" s="177">
        <v>179671.82</v>
      </c>
      <c r="F13" s="54"/>
      <c r="G13" s="176">
        <v>246687.85</v>
      </c>
      <c r="H13" s="209">
        <v>241698.82</v>
      </c>
      <c r="I13" s="213"/>
      <c r="J13" s="176">
        <v>281111.02</v>
      </c>
      <c r="K13" s="195">
        <v>258111.02</v>
      </c>
      <c r="L13" s="209">
        <v>218345.16999999998</v>
      </c>
      <c r="M13" s="195"/>
      <c r="N13" s="176">
        <v>282079</v>
      </c>
      <c r="O13" s="195">
        <v>265913</v>
      </c>
      <c r="P13" s="209">
        <v>212730.51</v>
      </c>
      <c r="Q13" s="195"/>
      <c r="R13" s="214">
        <f>'Payroll '!B30</f>
        <v>328448.68</v>
      </c>
      <c r="S13" s="115"/>
      <c r="T13" s="266">
        <f>SUM(R13-N13)</f>
        <v>46369.679999999993</v>
      </c>
      <c r="U13" s="275">
        <f>SUM(T13/N13)</f>
        <v>0.16438543812194453</v>
      </c>
    </row>
    <row r="14" spans="1:23">
      <c r="A14" s="28">
        <v>5130510</v>
      </c>
      <c r="B14" s="24" t="s">
        <v>152</v>
      </c>
      <c r="C14" s="53"/>
      <c r="D14" s="176">
        <v>51792.54</v>
      </c>
      <c r="E14" s="177">
        <v>45257.81</v>
      </c>
      <c r="F14" s="56"/>
      <c r="G14" s="176">
        <v>61990.2</v>
      </c>
      <c r="H14" s="209">
        <v>59729.78</v>
      </c>
      <c r="I14" s="213"/>
      <c r="J14" s="176">
        <v>63852.41</v>
      </c>
      <c r="K14" s="195">
        <v>57852.41</v>
      </c>
      <c r="L14" s="209">
        <v>45560.165999999997</v>
      </c>
      <c r="M14" s="195"/>
      <c r="N14" s="176">
        <v>37561</v>
      </c>
      <c r="O14" s="195">
        <v>37561</v>
      </c>
      <c r="P14" s="209">
        <v>30048</v>
      </c>
      <c r="Q14" s="195"/>
      <c r="R14" s="214">
        <f>'Payroll '!F8</f>
        <v>23900.767851999997</v>
      </c>
      <c r="S14" s="115"/>
      <c r="T14" s="266">
        <f t="shared" ref="T14:T20" si="0">SUM(R14-N14)</f>
        <v>-13660.232148000003</v>
      </c>
      <c r="U14" s="275">
        <f t="shared" ref="U14:U20" si="1">SUM(T14/N14)</f>
        <v>-0.36368126908229287</v>
      </c>
    </row>
    <row r="15" spans="1:23">
      <c r="A15" s="28">
        <v>5140125</v>
      </c>
      <c r="B15" s="24" t="s">
        <v>153</v>
      </c>
      <c r="C15" s="53"/>
      <c r="D15" s="176">
        <v>16888.330000000002</v>
      </c>
      <c r="E15" s="177">
        <v>15486.14</v>
      </c>
      <c r="F15" s="56"/>
      <c r="G15" s="176">
        <v>25442.65</v>
      </c>
      <c r="H15" s="209">
        <v>25980.43</v>
      </c>
      <c r="I15" s="213"/>
      <c r="J15" s="176">
        <v>26867.395100000002</v>
      </c>
      <c r="K15" s="195">
        <v>26867.395100000002</v>
      </c>
      <c r="L15" s="209">
        <v>22209.99</v>
      </c>
      <c r="M15" s="195"/>
      <c r="N15" s="176">
        <v>32313</v>
      </c>
      <c r="O15" s="195">
        <v>32313</v>
      </c>
      <c r="P15" s="209">
        <v>25850.12</v>
      </c>
      <c r="Q15" s="195"/>
      <c r="R15" s="214">
        <f>'Payroll '!F51</f>
        <v>32312.6492</v>
      </c>
      <c r="S15" s="115"/>
      <c r="T15" s="266">
        <f t="shared" si="0"/>
        <v>-0.35080000000016298</v>
      </c>
      <c r="U15" s="275">
        <f t="shared" si="1"/>
        <v>-1.0856311701177946E-5</v>
      </c>
    </row>
    <row r="16" spans="1:23">
      <c r="A16" s="28">
        <v>5140141</v>
      </c>
      <c r="B16" s="24" t="s">
        <v>53</v>
      </c>
      <c r="C16" s="53"/>
      <c r="D16" s="176">
        <v>2518.41</v>
      </c>
      <c r="E16" s="177">
        <v>2703.51</v>
      </c>
      <c r="F16" s="56"/>
      <c r="G16" s="176">
        <v>3692.97</v>
      </c>
      <c r="H16" s="209">
        <v>4270.25</v>
      </c>
      <c r="I16" s="213"/>
      <c r="J16" s="176">
        <v>4020.1035342</v>
      </c>
      <c r="K16" s="195">
        <v>4020.1035342</v>
      </c>
      <c r="L16" s="209">
        <v>5152.5463999999993</v>
      </c>
      <c r="M16" s="195"/>
      <c r="N16" s="176">
        <v>3887</v>
      </c>
      <c r="O16" s="195">
        <v>3887</v>
      </c>
      <c r="P16" s="209">
        <v>3887</v>
      </c>
      <c r="Q16" s="195"/>
      <c r="R16" s="214">
        <f>'Payroll '!F23</f>
        <v>3131.2790600000008</v>
      </c>
      <c r="S16" s="115"/>
      <c r="T16" s="266">
        <f t="shared" si="0"/>
        <v>-755.72093999999925</v>
      </c>
      <c r="U16" s="275">
        <f t="shared" si="1"/>
        <v>-0.19442267558528409</v>
      </c>
    </row>
    <row r="17" spans="1:21">
      <c r="A17" s="28">
        <v>5140115</v>
      </c>
      <c r="B17" s="24" t="s">
        <v>1</v>
      </c>
      <c r="C17" s="53"/>
      <c r="D17" s="176">
        <v>736</v>
      </c>
      <c r="E17" s="177">
        <v>791.82</v>
      </c>
      <c r="F17" s="56"/>
      <c r="G17" s="176">
        <v>742</v>
      </c>
      <c r="H17" s="209">
        <v>1064.0999999999999</v>
      </c>
      <c r="I17" s="213"/>
      <c r="J17" s="176">
        <v>960</v>
      </c>
      <c r="K17" s="195">
        <v>960</v>
      </c>
      <c r="L17" s="209">
        <v>1730.51</v>
      </c>
      <c r="M17" s="195"/>
      <c r="N17" s="176">
        <v>1744</v>
      </c>
      <c r="O17" s="195">
        <v>1744</v>
      </c>
      <c r="P17" s="209">
        <v>1643</v>
      </c>
      <c r="Q17" s="195"/>
      <c r="R17" s="214">
        <v>1965</v>
      </c>
      <c r="S17" s="115"/>
      <c r="T17" s="266">
        <f t="shared" si="0"/>
        <v>221</v>
      </c>
      <c r="U17" s="275">
        <f t="shared" si="1"/>
        <v>0.12672018348623854</v>
      </c>
    </row>
    <row r="18" spans="1:21">
      <c r="A18" s="28">
        <v>5140145</v>
      </c>
      <c r="B18" s="24" t="s">
        <v>17</v>
      </c>
      <c r="C18" s="53"/>
      <c r="D18" s="176">
        <v>868</v>
      </c>
      <c r="E18" s="177">
        <v>1214.6600000000001</v>
      </c>
      <c r="F18" s="56"/>
      <c r="G18" s="176">
        <v>868</v>
      </c>
      <c r="H18" s="209">
        <v>2234.2399999999998</v>
      </c>
      <c r="I18" s="213"/>
      <c r="J18" s="176">
        <v>6290.4</v>
      </c>
      <c r="K18" s="195">
        <v>6290.4</v>
      </c>
      <c r="L18" s="209">
        <v>3500</v>
      </c>
      <c r="M18" s="195"/>
      <c r="N18" s="176">
        <v>3605</v>
      </c>
      <c r="O18" s="195">
        <v>3605</v>
      </c>
      <c r="P18" s="209">
        <v>3605</v>
      </c>
      <c r="Q18" s="195"/>
      <c r="R18" s="214">
        <f>'Payroll '!F39</f>
        <v>3713.15</v>
      </c>
      <c r="S18" s="115"/>
      <c r="T18" s="266">
        <f t="shared" si="0"/>
        <v>108.15000000000009</v>
      </c>
      <c r="U18" s="275">
        <f t="shared" si="1"/>
        <v>3.0000000000000027E-2</v>
      </c>
    </row>
    <row r="19" spans="1:21">
      <c r="A19" s="57">
        <v>5130525</v>
      </c>
      <c r="B19" s="27" t="s">
        <v>215</v>
      </c>
      <c r="C19" s="58"/>
      <c r="D19" s="178">
        <v>16798.34</v>
      </c>
      <c r="E19" s="179">
        <v>24897.94</v>
      </c>
      <c r="F19" s="56"/>
      <c r="G19" s="178">
        <v>14880</v>
      </c>
      <c r="H19" s="215">
        <v>13480.93</v>
      </c>
      <c r="I19" s="213"/>
      <c r="J19" s="178">
        <v>15615</v>
      </c>
      <c r="K19" s="213">
        <v>15615</v>
      </c>
      <c r="L19" s="215">
        <v>15615</v>
      </c>
      <c r="M19" s="213"/>
      <c r="N19" s="178">
        <v>15615</v>
      </c>
      <c r="O19" s="213">
        <v>15615</v>
      </c>
      <c r="P19" s="215">
        <v>15615</v>
      </c>
      <c r="Q19" s="213"/>
      <c r="R19" s="214">
        <f>'2018-2019'!L19</f>
        <v>15615</v>
      </c>
      <c r="S19" s="115"/>
      <c r="T19" s="266">
        <f t="shared" si="0"/>
        <v>0</v>
      </c>
      <c r="U19" s="275">
        <f t="shared" si="1"/>
        <v>0</v>
      </c>
    </row>
    <row r="20" spans="1:21">
      <c r="B20" s="25"/>
      <c r="C20" s="53"/>
      <c r="D20" s="180">
        <f>SUM(D13:D19)</f>
        <v>279485.51000000007</v>
      </c>
      <c r="E20" s="181">
        <f>SUM(E13:E19)</f>
        <v>270023.7</v>
      </c>
      <c r="F20" s="56"/>
      <c r="G20" s="180">
        <f>SUM(G13:G19)</f>
        <v>354303.67</v>
      </c>
      <c r="H20" s="190">
        <f>SUM(H13:H19)</f>
        <v>348458.54999999993</v>
      </c>
      <c r="I20" s="213"/>
      <c r="J20" s="189">
        <f>SUM(J13:J19)</f>
        <v>398716.32863420009</v>
      </c>
      <c r="K20" s="216">
        <v>369716.32863420004</v>
      </c>
      <c r="L20" s="190">
        <f>SUM(L13:L19)</f>
        <v>312113.3824</v>
      </c>
      <c r="M20" s="195"/>
      <c r="N20" s="189">
        <f>SUM(N13:N19)</f>
        <v>376804</v>
      </c>
      <c r="O20" s="216">
        <v>360639</v>
      </c>
      <c r="P20" s="190">
        <f>SUM(P13:P19)</f>
        <v>293378.63</v>
      </c>
      <c r="Q20" s="216"/>
      <c r="R20" s="217">
        <f>SUM(R13:R19)</f>
        <v>409086.52611199999</v>
      </c>
      <c r="S20" s="115"/>
      <c r="T20" s="266">
        <f t="shared" si="0"/>
        <v>32282.526111999992</v>
      </c>
      <c r="U20" s="275">
        <f t="shared" si="1"/>
        <v>8.5674584431163131E-2</v>
      </c>
    </row>
    <row r="21" spans="1:21">
      <c r="C21" s="60"/>
      <c r="D21" s="176"/>
      <c r="E21" s="182"/>
      <c r="F21" s="60"/>
      <c r="G21" s="176"/>
      <c r="H21" s="209"/>
      <c r="I21" s="218"/>
      <c r="J21" s="176"/>
      <c r="K21" s="195"/>
      <c r="L21" s="209"/>
      <c r="M21" s="195"/>
      <c r="N21" s="176"/>
      <c r="O21" s="195"/>
      <c r="P21" s="209"/>
      <c r="Q21" s="195"/>
      <c r="R21" s="219"/>
      <c r="S21" s="114"/>
      <c r="T21" s="266"/>
      <c r="U21" s="276"/>
    </row>
    <row r="22" spans="1:21" ht="15">
      <c r="A22" s="125" t="s">
        <v>209</v>
      </c>
      <c r="C22" s="53"/>
      <c r="D22" s="176"/>
      <c r="E22" s="182"/>
      <c r="F22" s="55"/>
      <c r="G22" s="176"/>
      <c r="H22" s="209"/>
      <c r="I22" s="218"/>
      <c r="J22" s="176"/>
      <c r="K22" s="195"/>
      <c r="L22" s="209"/>
      <c r="M22" s="195"/>
      <c r="N22" s="176"/>
      <c r="O22" s="195"/>
      <c r="P22" s="209"/>
      <c r="Q22" s="195"/>
      <c r="R22" s="219"/>
      <c r="S22" s="114"/>
      <c r="T22" s="266"/>
      <c r="U22" s="276"/>
    </row>
    <row r="23" spans="1:21" ht="3" customHeight="1">
      <c r="C23" s="53"/>
      <c r="D23" s="176"/>
      <c r="E23" s="182"/>
      <c r="F23" s="55"/>
      <c r="G23" s="176"/>
      <c r="H23" s="209"/>
      <c r="I23" s="218"/>
      <c r="J23" s="176"/>
      <c r="K23" s="195"/>
      <c r="L23" s="209"/>
      <c r="M23" s="195"/>
      <c r="N23" s="176"/>
      <c r="O23" s="195"/>
      <c r="P23" s="209"/>
      <c r="Q23" s="195"/>
      <c r="R23" s="219"/>
      <c r="S23" s="114"/>
      <c r="T23" s="266"/>
      <c r="U23" s="276"/>
    </row>
    <row r="24" spans="1:21">
      <c r="A24" s="52" t="s">
        <v>0</v>
      </c>
      <c r="B24" s="52" t="s">
        <v>5</v>
      </c>
      <c r="C24" s="53"/>
      <c r="D24" s="176"/>
      <c r="E24" s="182"/>
      <c r="F24" s="62"/>
      <c r="G24" s="176"/>
      <c r="H24" s="209"/>
      <c r="I24" s="218"/>
      <c r="J24" s="176"/>
      <c r="K24" s="195"/>
      <c r="L24" s="209"/>
      <c r="M24" s="195"/>
      <c r="N24" s="176"/>
      <c r="O24" s="195"/>
      <c r="P24" s="209"/>
      <c r="Q24" s="195"/>
      <c r="R24" s="219"/>
      <c r="S24" s="114"/>
      <c r="T24" s="266"/>
      <c r="U24" s="276"/>
    </row>
    <row r="25" spans="1:21" s="27" customFormat="1">
      <c r="A25" s="63">
        <v>5210110</v>
      </c>
      <c r="B25" s="63" t="s">
        <v>18</v>
      </c>
      <c r="C25" s="58"/>
      <c r="D25" s="183">
        <v>5800</v>
      </c>
      <c r="E25" s="179">
        <v>17183</v>
      </c>
      <c r="F25" s="64"/>
      <c r="G25" s="183">
        <v>15255</v>
      </c>
      <c r="H25" s="220">
        <f>8780.54+7012.89</f>
        <v>15793.43</v>
      </c>
      <c r="I25" s="218"/>
      <c r="J25" s="183">
        <v>15020</v>
      </c>
      <c r="K25" s="221">
        <v>15020</v>
      </c>
      <c r="L25" s="220">
        <v>19431.03</v>
      </c>
      <c r="M25" s="221"/>
      <c r="N25" s="183">
        <v>26180</v>
      </c>
      <c r="O25" s="221">
        <v>30680</v>
      </c>
      <c r="P25" s="220">
        <v>70680</v>
      </c>
      <c r="Q25" s="221"/>
      <c r="R25" s="222">
        <f>Administrative!C14</f>
        <v>30680</v>
      </c>
      <c r="S25" s="119"/>
      <c r="T25" s="266">
        <f>SUM(R25-N25)</f>
        <v>4500</v>
      </c>
      <c r="U25" s="275">
        <f>SUM(T25/N25)</f>
        <v>0.17188693659281895</v>
      </c>
    </row>
    <row r="26" spans="1:21" s="27" customFormat="1">
      <c r="A26" s="63">
        <v>5210131</v>
      </c>
      <c r="B26" s="63" t="s">
        <v>3</v>
      </c>
      <c r="C26" s="58"/>
      <c r="D26" s="183">
        <v>14196.23</v>
      </c>
      <c r="E26" s="179">
        <v>2477.21</v>
      </c>
      <c r="F26" s="64"/>
      <c r="G26" s="183">
        <v>10075</v>
      </c>
      <c r="H26" s="220">
        <v>10045.280000000001</v>
      </c>
      <c r="I26" s="213"/>
      <c r="J26" s="183">
        <v>10578.75</v>
      </c>
      <c r="K26" s="221">
        <v>39578.75</v>
      </c>
      <c r="L26" s="220">
        <v>51213.78</v>
      </c>
      <c r="M26" s="221"/>
      <c r="N26" s="183">
        <v>35880</v>
      </c>
      <c r="O26" s="221">
        <v>35880</v>
      </c>
      <c r="P26" s="220">
        <v>35880</v>
      </c>
      <c r="Q26" s="221"/>
      <c r="R26" s="222">
        <f>Administrative!D23</f>
        <v>40500</v>
      </c>
      <c r="S26" s="119"/>
      <c r="T26" s="266">
        <f t="shared" ref="T26:T31" si="2">SUM(R26-N26)</f>
        <v>4620</v>
      </c>
      <c r="U26" s="275">
        <f t="shared" ref="U26:U31" si="3">SUM(T26/N26)</f>
        <v>0.12876254180602006</v>
      </c>
    </row>
    <row r="27" spans="1:21" s="27" customFormat="1" ht="12.75" customHeight="1">
      <c r="A27" s="63">
        <v>5210230</v>
      </c>
      <c r="B27" s="63" t="s">
        <v>144</v>
      </c>
      <c r="C27" s="58"/>
      <c r="D27" s="183">
        <v>8000</v>
      </c>
      <c r="E27" s="179">
        <v>0</v>
      </c>
      <c r="F27" s="64"/>
      <c r="G27" s="183">
        <v>4925</v>
      </c>
      <c r="H27" s="220">
        <v>1200</v>
      </c>
      <c r="I27" s="213"/>
      <c r="J27" s="183">
        <v>6125</v>
      </c>
      <c r="K27" s="221">
        <v>6125</v>
      </c>
      <c r="L27" s="220">
        <v>9125</v>
      </c>
      <c r="M27" s="221"/>
      <c r="N27" s="183">
        <v>5550</v>
      </c>
      <c r="O27" s="221">
        <v>5550</v>
      </c>
      <c r="P27" s="220">
        <v>5550</v>
      </c>
      <c r="Q27" s="221"/>
      <c r="R27" s="222">
        <f>Administrative!D34</f>
        <v>6438</v>
      </c>
      <c r="S27" s="119"/>
      <c r="T27" s="266">
        <f t="shared" si="2"/>
        <v>888</v>
      </c>
      <c r="U27" s="275">
        <f t="shared" si="3"/>
        <v>0.16</v>
      </c>
    </row>
    <row r="28" spans="1:21" s="27" customFormat="1" ht="12.75" customHeight="1">
      <c r="A28" s="63">
        <v>5211325</v>
      </c>
      <c r="B28" s="63" t="s">
        <v>145</v>
      </c>
      <c r="C28" s="58"/>
      <c r="D28" s="178">
        <v>4000</v>
      </c>
      <c r="E28" s="179">
        <v>2614.42</v>
      </c>
      <c r="F28" s="64"/>
      <c r="G28" s="178">
        <v>2975</v>
      </c>
      <c r="H28" s="215">
        <v>3494.97</v>
      </c>
      <c r="I28" s="213"/>
      <c r="J28" s="178">
        <v>2450</v>
      </c>
      <c r="K28" s="213">
        <v>2450</v>
      </c>
      <c r="L28" s="215">
        <v>1911.94</v>
      </c>
      <c r="M28" s="213"/>
      <c r="N28" s="178">
        <v>2965</v>
      </c>
      <c r="O28" s="213">
        <v>2965</v>
      </c>
      <c r="P28" s="215">
        <v>2965</v>
      </c>
      <c r="Q28" s="213"/>
      <c r="R28" s="214">
        <f>Administrative!D46</f>
        <v>2965</v>
      </c>
      <c r="S28" s="115"/>
      <c r="T28" s="266">
        <f t="shared" si="2"/>
        <v>0</v>
      </c>
      <c r="U28" s="275">
        <f t="shared" si="3"/>
        <v>0</v>
      </c>
    </row>
    <row r="29" spans="1:21" s="27" customFormat="1" ht="12.75" customHeight="1">
      <c r="A29" s="63">
        <v>5211440</v>
      </c>
      <c r="B29" s="63" t="s">
        <v>146</v>
      </c>
      <c r="C29" s="58"/>
      <c r="D29" s="178">
        <v>3000</v>
      </c>
      <c r="E29" s="179">
        <v>3522.55</v>
      </c>
      <c r="F29" s="64"/>
      <c r="G29" s="178">
        <v>3037</v>
      </c>
      <c r="H29" s="215">
        <v>3850.51</v>
      </c>
      <c r="I29" s="213"/>
      <c r="J29" s="178">
        <v>4117.5</v>
      </c>
      <c r="K29" s="213">
        <v>4117.5</v>
      </c>
      <c r="L29" s="215">
        <v>5000</v>
      </c>
      <c r="M29" s="213"/>
      <c r="N29" s="178">
        <v>4539</v>
      </c>
      <c r="O29" s="213">
        <v>4539</v>
      </c>
      <c r="P29" s="215">
        <v>4539</v>
      </c>
      <c r="Q29" s="213"/>
      <c r="R29" s="214">
        <f>Administrative!K33</f>
        <v>7238.5</v>
      </c>
      <c r="S29" s="115"/>
      <c r="T29" s="266">
        <f t="shared" si="2"/>
        <v>2699.5</v>
      </c>
      <c r="U29" s="275">
        <f t="shared" si="3"/>
        <v>0.59473452302269225</v>
      </c>
    </row>
    <row r="30" spans="1:21">
      <c r="A30" s="66">
        <v>5211533</v>
      </c>
      <c r="B30" s="66" t="s">
        <v>2</v>
      </c>
      <c r="C30" s="53"/>
      <c r="D30" s="184">
        <v>7100</v>
      </c>
      <c r="E30" s="177">
        <v>4600</v>
      </c>
      <c r="F30" s="56"/>
      <c r="G30" s="184">
        <v>7100</v>
      </c>
      <c r="H30" s="223">
        <v>5500</v>
      </c>
      <c r="I30" s="213"/>
      <c r="J30" s="184">
        <v>10875</v>
      </c>
      <c r="K30" s="224">
        <v>10875</v>
      </c>
      <c r="L30" s="223">
        <v>10375</v>
      </c>
      <c r="M30" s="224"/>
      <c r="N30" s="184">
        <v>11000</v>
      </c>
      <c r="O30" s="224">
        <v>11000</v>
      </c>
      <c r="P30" s="223">
        <v>13000</v>
      </c>
      <c r="Q30" s="224"/>
      <c r="R30" s="222">
        <f>Administrative!M44</f>
        <v>13500</v>
      </c>
      <c r="S30" s="119"/>
      <c r="T30" s="266">
        <f t="shared" si="2"/>
        <v>2500</v>
      </c>
      <c r="U30" s="275">
        <f t="shared" si="3"/>
        <v>0.22727272727272727</v>
      </c>
    </row>
    <row r="31" spans="1:21">
      <c r="A31" s="66"/>
      <c r="B31" s="66"/>
      <c r="C31" s="53"/>
      <c r="D31" s="185">
        <f>SUM(D25:D30)</f>
        <v>42096.229999999996</v>
      </c>
      <c r="E31" s="186">
        <f>SUM(E25:E30)</f>
        <v>30397.179999999997</v>
      </c>
      <c r="F31" s="56"/>
      <c r="G31" s="185">
        <f>SUM(G25:G30)</f>
        <v>43367</v>
      </c>
      <c r="H31" s="190">
        <f>SUM(H25:H30)</f>
        <v>39884.19</v>
      </c>
      <c r="I31" s="213"/>
      <c r="J31" s="185">
        <f>SUM(J25:J30)</f>
        <v>49166.25</v>
      </c>
      <c r="K31" s="216">
        <v>78166.25</v>
      </c>
      <c r="L31" s="190">
        <f>SUM(L25:L30)</f>
        <v>97056.75</v>
      </c>
      <c r="M31" s="195"/>
      <c r="N31" s="185">
        <f>SUM(N25:N30)</f>
        <v>86114</v>
      </c>
      <c r="O31" s="216">
        <v>90614</v>
      </c>
      <c r="P31" s="190">
        <f>SUM(P25:P30)</f>
        <v>132614</v>
      </c>
      <c r="Q31" s="216"/>
      <c r="R31" s="217">
        <f>SUM(R25:R30)</f>
        <v>101321.5</v>
      </c>
      <c r="S31" s="115"/>
      <c r="T31" s="266">
        <f t="shared" si="2"/>
        <v>15207.5</v>
      </c>
      <c r="U31" s="275">
        <f t="shared" si="3"/>
        <v>0.17659730125182896</v>
      </c>
    </row>
    <row r="32" spans="1:21">
      <c r="A32" s="66"/>
      <c r="B32" s="66"/>
      <c r="C32" s="53"/>
      <c r="D32" s="176"/>
      <c r="E32" s="177"/>
      <c r="F32" s="56"/>
      <c r="G32" s="176"/>
      <c r="H32" s="209"/>
      <c r="I32" s="213"/>
      <c r="J32" s="176"/>
      <c r="K32" s="195"/>
      <c r="L32" s="209"/>
      <c r="M32" s="195"/>
      <c r="N32" s="176"/>
      <c r="O32" s="195"/>
      <c r="P32" s="209"/>
      <c r="Q32" s="195"/>
      <c r="R32" s="219"/>
      <c r="S32" s="114"/>
      <c r="T32" s="266"/>
      <c r="U32" s="276"/>
    </row>
    <row r="33" spans="1:28" ht="15">
      <c r="A33" s="125" t="s">
        <v>21</v>
      </c>
      <c r="B33" s="66"/>
      <c r="C33" s="53"/>
      <c r="D33" s="176"/>
      <c r="E33" s="177"/>
      <c r="F33" s="56"/>
      <c r="G33" s="176"/>
      <c r="H33" s="209"/>
      <c r="I33" s="213"/>
      <c r="J33" s="176"/>
      <c r="K33" s="195"/>
      <c r="L33" s="209"/>
      <c r="M33" s="195"/>
      <c r="N33" s="176"/>
      <c r="O33" s="195"/>
      <c r="P33" s="209"/>
      <c r="Q33" s="195"/>
      <c r="R33" s="219"/>
      <c r="S33" s="114"/>
      <c r="T33" s="266"/>
      <c r="U33" s="276"/>
    </row>
    <row r="34" spans="1:28" ht="2.25" customHeight="1">
      <c r="A34" s="66"/>
      <c r="B34" s="66"/>
      <c r="C34" s="53"/>
      <c r="D34" s="176"/>
      <c r="E34" s="177"/>
      <c r="F34" s="64"/>
      <c r="G34" s="176"/>
      <c r="H34" s="209"/>
      <c r="I34" s="213"/>
      <c r="J34" s="176"/>
      <c r="K34" s="195"/>
      <c r="L34" s="209"/>
      <c r="M34" s="195"/>
      <c r="N34" s="176"/>
      <c r="O34" s="195"/>
      <c r="P34" s="209"/>
      <c r="Q34" s="195"/>
      <c r="R34" s="219"/>
      <c r="S34" s="114"/>
      <c r="T34" s="266"/>
      <c r="U34" s="276"/>
    </row>
    <row r="35" spans="1:28">
      <c r="A35" s="52" t="s">
        <v>0</v>
      </c>
      <c r="B35" s="52" t="s">
        <v>5</v>
      </c>
      <c r="C35" s="53"/>
      <c r="D35" s="176"/>
      <c r="E35" s="177"/>
      <c r="F35" s="56"/>
      <c r="G35" s="176"/>
      <c r="H35" s="209"/>
      <c r="I35" s="213"/>
      <c r="J35" s="176"/>
      <c r="K35" s="195"/>
      <c r="L35" s="209"/>
      <c r="M35" s="195"/>
      <c r="N35" s="176"/>
      <c r="O35" s="195"/>
      <c r="P35" s="209"/>
      <c r="Q35" s="195"/>
      <c r="R35" s="219"/>
      <c r="S35" s="114"/>
      <c r="T35" s="266"/>
      <c r="U35" s="276"/>
    </row>
    <row r="36" spans="1:28">
      <c r="A36" s="66">
        <v>5211270</v>
      </c>
      <c r="B36" s="66" t="s">
        <v>155</v>
      </c>
      <c r="C36" s="53"/>
      <c r="D36" s="176">
        <v>16770</v>
      </c>
      <c r="E36" s="177">
        <v>16770</v>
      </c>
      <c r="F36" s="56"/>
      <c r="G36" s="176">
        <v>17370</v>
      </c>
      <c r="H36" s="209">
        <v>19774.419999999998</v>
      </c>
      <c r="I36" s="213"/>
      <c r="J36" s="176">
        <v>24938.3</v>
      </c>
      <c r="K36" s="195">
        <v>24938.3</v>
      </c>
      <c r="L36" s="209">
        <v>23078.550000000003</v>
      </c>
      <c r="M36" s="195"/>
      <c r="N36" s="176">
        <v>31253</v>
      </c>
      <c r="O36" s="195">
        <v>31253</v>
      </c>
      <c r="P36" s="209">
        <v>31403</v>
      </c>
      <c r="Q36" s="195"/>
      <c r="R36" s="214">
        <f>Services!E8</f>
        <v>34652.270000000004</v>
      </c>
      <c r="S36" s="114"/>
      <c r="T36" s="266">
        <f>SUM(R36-N36)</f>
        <v>3399.2700000000041</v>
      </c>
      <c r="U36" s="275">
        <f>SUM(T36/N36)</f>
        <v>0.10876619844494942</v>
      </c>
    </row>
    <row r="37" spans="1:28">
      <c r="A37" s="63">
        <v>5211330</v>
      </c>
      <c r="B37" s="66" t="s">
        <v>22</v>
      </c>
      <c r="C37" s="53"/>
      <c r="D37" s="176">
        <v>13340</v>
      </c>
      <c r="E37" s="177">
        <v>13896</v>
      </c>
      <c r="F37" s="64"/>
      <c r="G37" s="176">
        <v>14092</v>
      </c>
      <c r="H37" s="209">
        <v>14017</v>
      </c>
      <c r="I37" s="213"/>
      <c r="J37" s="176">
        <v>14368.68</v>
      </c>
      <c r="K37" s="195">
        <v>14368.68</v>
      </c>
      <c r="L37" s="209">
        <v>14368.68</v>
      </c>
      <c r="M37" s="195"/>
      <c r="N37" s="176">
        <v>14556</v>
      </c>
      <c r="O37" s="195">
        <v>14556</v>
      </c>
      <c r="P37" s="209">
        <v>14556</v>
      </c>
      <c r="Q37" s="195"/>
      <c r="R37" s="214">
        <f>Services!E19</f>
        <v>14734</v>
      </c>
      <c r="S37" s="114"/>
      <c r="T37" s="266">
        <f t="shared" ref="T37:T48" si="4">SUM(R37-N37)</f>
        <v>178</v>
      </c>
      <c r="U37" s="275">
        <f t="shared" ref="U37:U48" si="5">SUM(T37/N37)</f>
        <v>1.2228634240175873E-2</v>
      </c>
    </row>
    <row r="38" spans="1:28">
      <c r="A38" s="63">
        <v>5210525</v>
      </c>
      <c r="B38" s="66" t="s">
        <v>23</v>
      </c>
      <c r="C38" s="53"/>
      <c r="D38" s="176">
        <v>3000</v>
      </c>
      <c r="E38" s="177">
        <v>2771.03</v>
      </c>
      <c r="F38" s="64"/>
      <c r="G38" s="176">
        <v>2771.03</v>
      </c>
      <c r="H38" s="209">
        <v>2677.02</v>
      </c>
      <c r="I38" s="213"/>
      <c r="J38" s="176">
        <v>2677.02</v>
      </c>
      <c r="K38" s="195">
        <v>2677.02</v>
      </c>
      <c r="L38" s="209">
        <v>2564.33</v>
      </c>
      <c r="M38" s="195"/>
      <c r="N38" s="176">
        <v>3993</v>
      </c>
      <c r="O38" s="195">
        <v>3993</v>
      </c>
      <c r="P38" s="209">
        <v>3993</v>
      </c>
      <c r="Q38" s="195"/>
      <c r="R38" s="309">
        <f>Services!E27</f>
        <v>3993.39</v>
      </c>
      <c r="S38" s="120"/>
      <c r="T38" s="266">
        <f t="shared" si="4"/>
        <v>0.38999999999987267</v>
      </c>
      <c r="U38" s="275">
        <f t="shared" si="5"/>
        <v>9.7670924117173225E-5</v>
      </c>
    </row>
    <row r="39" spans="1:28">
      <c r="A39" s="57">
        <v>5210715</v>
      </c>
      <c r="B39" s="24" t="s">
        <v>24</v>
      </c>
      <c r="C39" s="53"/>
      <c r="D39" s="176">
        <v>5874.6</v>
      </c>
      <c r="E39" s="177">
        <v>5416.36</v>
      </c>
      <c r="F39" s="64"/>
      <c r="G39" s="176">
        <v>6053.6</v>
      </c>
      <c r="H39" s="209">
        <v>7496.6</v>
      </c>
      <c r="I39" s="213"/>
      <c r="J39" s="176">
        <v>6567.6</v>
      </c>
      <c r="K39" s="195">
        <v>6567.6</v>
      </c>
      <c r="L39" s="209">
        <v>8794.7999999999993</v>
      </c>
      <c r="M39" s="195"/>
      <c r="N39" s="176">
        <v>8236</v>
      </c>
      <c r="O39" s="195">
        <v>8236</v>
      </c>
      <c r="P39" s="209">
        <v>8236</v>
      </c>
      <c r="Q39" s="195"/>
      <c r="R39" s="214">
        <f>Services!L33</f>
        <v>8608</v>
      </c>
      <c r="S39" s="121"/>
      <c r="T39" s="266">
        <f t="shared" si="4"/>
        <v>372</v>
      </c>
      <c r="U39" s="275">
        <f t="shared" si="5"/>
        <v>4.5167557066537155E-2</v>
      </c>
    </row>
    <row r="40" spans="1:28">
      <c r="A40" s="63">
        <v>5211516</v>
      </c>
      <c r="B40" s="66" t="s">
        <v>25</v>
      </c>
      <c r="C40" s="53"/>
      <c r="D40" s="176" t="s">
        <v>36</v>
      </c>
      <c r="E40" s="177" t="s">
        <v>36</v>
      </c>
      <c r="F40" s="64"/>
      <c r="G40" s="176" t="s">
        <v>36</v>
      </c>
      <c r="H40" s="209">
        <v>0</v>
      </c>
      <c r="I40" s="213"/>
      <c r="J40" s="176">
        <v>0</v>
      </c>
      <c r="K40" s="195">
        <v>0</v>
      </c>
      <c r="L40" s="209">
        <v>180</v>
      </c>
      <c r="M40" s="195"/>
      <c r="N40" s="176">
        <v>0</v>
      </c>
      <c r="O40" s="195">
        <v>0</v>
      </c>
      <c r="P40" s="321" t="s">
        <v>218</v>
      </c>
      <c r="Q40" s="195"/>
      <c r="R40" s="214">
        <v>0</v>
      </c>
      <c r="S40" s="114"/>
      <c r="T40" s="266">
        <f t="shared" si="4"/>
        <v>0</v>
      </c>
      <c r="U40" s="368" t="s">
        <v>236</v>
      </c>
    </row>
    <row r="41" spans="1:28">
      <c r="A41" s="63">
        <v>5220110</v>
      </c>
      <c r="B41" s="66" t="s">
        <v>150</v>
      </c>
      <c r="C41" s="53"/>
      <c r="D41" s="176">
        <v>2000</v>
      </c>
      <c r="E41" s="177">
        <v>5831.11</v>
      </c>
      <c r="F41" s="64"/>
      <c r="G41" s="176">
        <v>23399.96</v>
      </c>
      <c r="H41" s="209">
        <v>19795.05</v>
      </c>
      <c r="I41" s="213"/>
      <c r="J41" s="176">
        <v>2590</v>
      </c>
      <c r="K41" s="195">
        <v>2590</v>
      </c>
      <c r="L41" s="209">
        <v>7766.38</v>
      </c>
      <c r="M41" s="195"/>
      <c r="N41" s="176">
        <v>4200</v>
      </c>
      <c r="O41" s="195">
        <v>4200</v>
      </c>
      <c r="P41" s="209">
        <v>4200</v>
      </c>
      <c r="Q41" s="195"/>
      <c r="R41" s="214">
        <f>Services!L22</f>
        <v>4300</v>
      </c>
      <c r="S41" s="114"/>
      <c r="T41" s="266">
        <f t="shared" si="4"/>
        <v>100</v>
      </c>
      <c r="U41" s="275">
        <f t="shared" si="5"/>
        <v>2.3809523809523808E-2</v>
      </c>
    </row>
    <row r="42" spans="1:28">
      <c r="A42" s="57">
        <v>5210935</v>
      </c>
      <c r="B42" s="24" t="s">
        <v>156</v>
      </c>
      <c r="C42" s="24"/>
      <c r="D42" s="187">
        <v>6000</v>
      </c>
      <c r="E42" s="188">
        <v>8671.5400000000009</v>
      </c>
      <c r="F42" s="24"/>
      <c r="G42" s="187">
        <v>2907.16</v>
      </c>
      <c r="H42" s="209">
        <v>4706.3900000000003</v>
      </c>
      <c r="I42" s="213"/>
      <c r="J42" s="187">
        <v>5137.16</v>
      </c>
      <c r="K42" s="195">
        <v>5137.16</v>
      </c>
      <c r="L42" s="209">
        <v>6931.17</v>
      </c>
      <c r="M42" s="195"/>
      <c r="N42" s="187">
        <v>11400</v>
      </c>
      <c r="O42" s="195">
        <v>23066</v>
      </c>
      <c r="P42" s="209">
        <v>25000</v>
      </c>
      <c r="Q42" s="195"/>
      <c r="R42" s="214">
        <f>Services!L15</f>
        <v>4620</v>
      </c>
      <c r="S42" s="114"/>
      <c r="T42" s="266">
        <f t="shared" si="4"/>
        <v>-6780</v>
      </c>
      <c r="U42" s="275">
        <f t="shared" si="5"/>
        <v>-0.59473684210526312</v>
      </c>
      <c r="AB42" s="320"/>
    </row>
    <row r="43" spans="1:28">
      <c r="A43" s="63">
        <v>5211340</v>
      </c>
      <c r="B43" s="66" t="s">
        <v>147</v>
      </c>
      <c r="C43" s="53"/>
      <c r="D43" s="176">
        <v>1500</v>
      </c>
      <c r="E43" s="177">
        <v>326.7</v>
      </c>
      <c r="F43" s="64"/>
      <c r="G43" s="176">
        <v>1095</v>
      </c>
      <c r="H43" s="209">
        <v>820.24</v>
      </c>
      <c r="I43" s="213"/>
      <c r="J43" s="176">
        <v>1800</v>
      </c>
      <c r="K43" s="195">
        <v>1800</v>
      </c>
      <c r="L43" s="209">
        <v>1000</v>
      </c>
      <c r="M43" s="195"/>
      <c r="N43" s="176">
        <v>1250</v>
      </c>
      <c r="O43" s="195">
        <v>1250</v>
      </c>
      <c r="P43" s="209">
        <v>3000</v>
      </c>
      <c r="Q43" s="195"/>
      <c r="R43" s="214">
        <f>Services!L6</f>
        <v>1500</v>
      </c>
      <c r="S43" s="114"/>
      <c r="T43" s="266">
        <f t="shared" si="4"/>
        <v>250</v>
      </c>
      <c r="U43" s="275">
        <f t="shared" si="5"/>
        <v>0.2</v>
      </c>
    </row>
    <row r="44" spans="1:28">
      <c r="A44" s="63">
        <v>5211520</v>
      </c>
      <c r="B44" s="66" t="s">
        <v>148</v>
      </c>
      <c r="C44" s="53"/>
      <c r="D44" s="176">
        <v>2000</v>
      </c>
      <c r="E44" s="177">
        <v>1121.28</v>
      </c>
      <c r="F44" s="64"/>
      <c r="G44" s="176">
        <v>2095</v>
      </c>
      <c r="H44" s="209">
        <v>3803.92</v>
      </c>
      <c r="I44" s="213"/>
      <c r="J44" s="176">
        <v>5000</v>
      </c>
      <c r="K44" s="195">
        <v>5000</v>
      </c>
      <c r="L44" s="209">
        <v>5431.75</v>
      </c>
      <c r="M44" s="195"/>
      <c r="N44" s="176">
        <v>5000</v>
      </c>
      <c r="O44" s="195">
        <v>5000</v>
      </c>
      <c r="P44" s="209">
        <v>3500</v>
      </c>
      <c r="Q44" s="195"/>
      <c r="R44" s="214">
        <f>Services!E45</f>
        <v>5000</v>
      </c>
      <c r="S44" s="114"/>
      <c r="T44" s="266">
        <f t="shared" si="4"/>
        <v>0</v>
      </c>
      <c r="U44" s="275">
        <f t="shared" si="5"/>
        <v>0</v>
      </c>
    </row>
    <row r="45" spans="1:28" ht="12.75" customHeight="1">
      <c r="A45" s="63">
        <v>5210129</v>
      </c>
      <c r="B45" s="66" t="s">
        <v>149</v>
      </c>
      <c r="C45" s="53"/>
      <c r="D45" s="176">
        <v>2000</v>
      </c>
      <c r="E45" s="177">
        <v>3000</v>
      </c>
      <c r="F45" s="64"/>
      <c r="G45" s="176">
        <v>2000</v>
      </c>
      <c r="H45" s="209">
        <v>0</v>
      </c>
      <c r="I45" s="213"/>
      <c r="J45" s="176">
        <v>15500</v>
      </c>
      <c r="K45" s="195">
        <v>15500</v>
      </c>
      <c r="L45" s="209">
        <v>13295.48</v>
      </c>
      <c r="M45" s="195"/>
      <c r="N45" s="176">
        <v>11613</v>
      </c>
      <c r="O45" s="195">
        <v>11613</v>
      </c>
      <c r="P45" s="209">
        <v>11613</v>
      </c>
      <c r="Q45" s="195"/>
      <c r="R45" s="214">
        <f>Services!E36</f>
        <v>11613</v>
      </c>
      <c r="S45" s="114"/>
      <c r="T45" s="266">
        <f t="shared" si="4"/>
        <v>0</v>
      </c>
      <c r="U45" s="275">
        <f t="shared" si="5"/>
        <v>0</v>
      </c>
    </row>
    <row r="46" spans="1:28" ht="12.75" customHeight="1">
      <c r="A46" s="63" t="s">
        <v>182</v>
      </c>
      <c r="B46" s="66" t="s">
        <v>212</v>
      </c>
      <c r="C46" s="53"/>
      <c r="D46" s="176">
        <v>0</v>
      </c>
      <c r="E46" s="177">
        <v>0</v>
      </c>
      <c r="F46" s="64"/>
      <c r="G46" s="176">
        <v>0</v>
      </c>
      <c r="H46" s="209">
        <v>0</v>
      </c>
      <c r="I46" s="213"/>
      <c r="J46" s="176">
        <v>0</v>
      </c>
      <c r="K46" s="195">
        <v>0</v>
      </c>
      <c r="L46" s="209">
        <v>0</v>
      </c>
      <c r="M46" s="195"/>
      <c r="N46" s="176">
        <v>1961</v>
      </c>
      <c r="O46" s="195">
        <v>1961</v>
      </c>
      <c r="P46" s="209">
        <v>1200</v>
      </c>
      <c r="Q46" s="195"/>
      <c r="R46" s="214">
        <f>Services!L44</f>
        <v>2045</v>
      </c>
      <c r="S46" s="114"/>
      <c r="T46" s="266">
        <f t="shared" si="4"/>
        <v>84</v>
      </c>
      <c r="U46" s="275">
        <f t="shared" si="5"/>
        <v>4.2835288118306988E-2</v>
      </c>
    </row>
    <row r="47" spans="1:28">
      <c r="A47" s="66">
        <v>5211215</v>
      </c>
      <c r="B47" s="66" t="s">
        <v>151</v>
      </c>
      <c r="C47" s="53"/>
      <c r="D47" s="176">
        <v>800</v>
      </c>
      <c r="E47" s="177">
        <v>314.64</v>
      </c>
      <c r="F47" s="64"/>
      <c r="G47" s="176">
        <v>800</v>
      </c>
      <c r="H47" s="209">
        <v>365.75</v>
      </c>
      <c r="I47" s="213"/>
      <c r="J47" s="176">
        <v>400.94</v>
      </c>
      <c r="K47" s="195">
        <v>400.94</v>
      </c>
      <c r="L47" s="209">
        <v>400.94</v>
      </c>
      <c r="M47" s="195"/>
      <c r="N47" s="176">
        <v>400.94</v>
      </c>
      <c r="O47" s="195">
        <v>400.94</v>
      </c>
      <c r="P47" s="209">
        <v>400.94</v>
      </c>
      <c r="Q47" s="195"/>
      <c r="R47" s="214">
        <f>J47</f>
        <v>400.94</v>
      </c>
      <c r="S47" s="114"/>
      <c r="T47" s="266">
        <f t="shared" si="4"/>
        <v>0</v>
      </c>
      <c r="U47" s="275">
        <f t="shared" si="5"/>
        <v>0</v>
      </c>
    </row>
    <row r="48" spans="1:28" ht="12" customHeight="1">
      <c r="B48" s="25"/>
      <c r="C48" s="53"/>
      <c r="D48" s="180">
        <f>SUM(D36:D47)</f>
        <v>53284.6</v>
      </c>
      <c r="E48" s="181">
        <f>SUM(E36:E47)</f>
        <v>58118.659999999996</v>
      </c>
      <c r="F48" s="56"/>
      <c r="G48" s="180">
        <f>SUM(G36:G47)</f>
        <v>72583.75</v>
      </c>
      <c r="H48" s="190">
        <f>SUM(H36:H47)</f>
        <v>73456.39</v>
      </c>
      <c r="I48" s="218"/>
      <c r="J48" s="189">
        <f>SUM(J36:J47)</f>
        <v>78979.7</v>
      </c>
      <c r="K48" s="216">
        <v>78979.7</v>
      </c>
      <c r="L48" s="190">
        <f>SUM(L36:L47)</f>
        <v>83812.08</v>
      </c>
      <c r="M48" s="195"/>
      <c r="N48" s="189">
        <f>SUM(N36:N47)</f>
        <v>93862.94</v>
      </c>
      <c r="O48" s="216">
        <v>105529</v>
      </c>
      <c r="P48" s="190">
        <f>SUM(P36:P47)</f>
        <v>107101.94</v>
      </c>
      <c r="Q48" s="216"/>
      <c r="R48" s="217">
        <f>SUM(R36:R47)</f>
        <v>91466.6</v>
      </c>
      <c r="S48" s="114"/>
      <c r="T48" s="266">
        <f t="shared" si="4"/>
        <v>-2396.3399999999965</v>
      </c>
      <c r="U48" s="275">
        <f t="shared" si="5"/>
        <v>-2.5530203933522608E-2</v>
      </c>
    </row>
    <row r="49" spans="1:27" ht="4.5" customHeight="1">
      <c r="C49" s="53"/>
      <c r="D49" s="176"/>
      <c r="E49" s="182"/>
      <c r="F49" s="55"/>
      <c r="G49" s="176"/>
      <c r="H49" s="209"/>
      <c r="I49" s="226"/>
      <c r="J49" s="176"/>
      <c r="K49" s="195"/>
      <c r="L49" s="209"/>
      <c r="M49" s="195"/>
      <c r="N49" s="176"/>
      <c r="O49" s="195"/>
      <c r="P49" s="209"/>
      <c r="Q49" s="195"/>
      <c r="R49" s="219"/>
      <c r="S49" s="114"/>
      <c r="T49" s="266"/>
      <c r="U49" s="275"/>
    </row>
    <row r="50" spans="1:27" ht="15">
      <c r="A50" s="125" t="s">
        <v>16</v>
      </c>
      <c r="B50" s="25"/>
      <c r="C50" s="53"/>
      <c r="D50" s="176"/>
      <c r="E50" s="182"/>
      <c r="F50" s="62"/>
      <c r="G50" s="176"/>
      <c r="H50" s="209"/>
      <c r="I50" s="226"/>
      <c r="J50" s="176"/>
      <c r="K50" s="195"/>
      <c r="L50" s="209"/>
      <c r="M50" s="195"/>
      <c r="N50" s="176"/>
      <c r="O50" s="195"/>
      <c r="P50" s="209"/>
      <c r="Q50" s="195"/>
      <c r="R50" s="219"/>
      <c r="S50" s="114"/>
      <c r="T50" s="266"/>
      <c r="U50" s="276"/>
      <c r="AA50" s="312"/>
    </row>
    <row r="51" spans="1:27" ht="7.5" customHeight="1">
      <c r="A51" s="33"/>
      <c r="B51" s="25"/>
      <c r="C51" s="53"/>
      <c r="D51" s="176"/>
      <c r="E51" s="182"/>
      <c r="F51" s="62"/>
      <c r="G51" s="176"/>
      <c r="H51" s="209"/>
      <c r="I51" s="226"/>
      <c r="J51" s="176"/>
      <c r="K51" s="195"/>
      <c r="L51" s="209"/>
      <c r="M51" s="195"/>
      <c r="N51" s="176"/>
      <c r="O51" s="195"/>
      <c r="P51" s="209"/>
      <c r="Q51" s="195"/>
      <c r="R51" s="219"/>
      <c r="S51" s="114"/>
      <c r="T51" s="266"/>
      <c r="U51" s="276"/>
    </row>
    <row r="52" spans="1:27" ht="9.75" customHeight="1">
      <c r="A52" s="52" t="s">
        <v>0</v>
      </c>
      <c r="B52" s="67" t="s">
        <v>5</v>
      </c>
      <c r="C52" s="53"/>
      <c r="D52" s="176"/>
      <c r="E52" s="182"/>
      <c r="F52" s="62"/>
      <c r="G52" s="176"/>
      <c r="H52" s="209"/>
      <c r="I52" s="226"/>
      <c r="J52" s="176"/>
      <c r="K52" s="195"/>
      <c r="L52" s="209"/>
      <c r="M52" s="195"/>
      <c r="N52" s="176"/>
      <c r="O52" s="195"/>
      <c r="P52" s="209"/>
      <c r="Q52" s="195"/>
      <c r="R52" s="219"/>
      <c r="S52" s="114"/>
      <c r="T52" s="266"/>
      <c r="U52" s="276"/>
    </row>
    <row r="53" spans="1:27" ht="12.75" customHeight="1">
      <c r="A53" s="66"/>
      <c r="B53" s="28" t="s">
        <v>26</v>
      </c>
      <c r="C53" s="53"/>
      <c r="D53" s="189">
        <v>0</v>
      </c>
      <c r="E53" s="190">
        <v>0</v>
      </c>
      <c r="F53" s="62"/>
      <c r="G53" s="227">
        <v>0</v>
      </c>
      <c r="H53" s="228">
        <v>0</v>
      </c>
      <c r="I53" s="229"/>
      <c r="J53" s="227">
        <v>0</v>
      </c>
      <c r="K53" s="230">
        <v>0</v>
      </c>
      <c r="L53" s="228">
        <v>0</v>
      </c>
      <c r="M53" s="195"/>
      <c r="N53" s="227">
        <v>0</v>
      </c>
      <c r="O53" s="230">
        <v>0</v>
      </c>
      <c r="P53" s="228">
        <v>0</v>
      </c>
      <c r="Q53" s="230"/>
      <c r="R53" s="225">
        <v>0</v>
      </c>
      <c r="S53" s="114"/>
      <c r="T53" s="266">
        <v>0</v>
      </c>
      <c r="U53" s="276">
        <v>0</v>
      </c>
    </row>
    <row r="54" spans="1:27">
      <c r="B54" s="25"/>
      <c r="C54" s="53"/>
      <c r="D54" s="176"/>
      <c r="E54" s="182"/>
      <c r="F54" s="62"/>
      <c r="G54" s="176"/>
      <c r="H54" s="209"/>
      <c r="I54" s="226"/>
      <c r="J54" s="176"/>
      <c r="K54" s="195"/>
      <c r="L54" s="209"/>
      <c r="M54" s="195"/>
      <c r="N54" s="176"/>
      <c r="O54" s="195"/>
      <c r="P54" s="209"/>
      <c r="Q54" s="195"/>
      <c r="R54" s="219"/>
      <c r="S54" s="114"/>
      <c r="T54" s="266"/>
      <c r="U54" s="276"/>
    </row>
    <row r="55" spans="1:27" ht="12" customHeight="1" thickBot="1">
      <c r="B55" s="127" t="s">
        <v>11</v>
      </c>
      <c r="C55" s="69"/>
      <c r="D55" s="191">
        <f>SUM(D20+D31+D48)</f>
        <v>374866.34</v>
      </c>
      <c r="E55" s="192">
        <f>SUM(E20+E31+E48)</f>
        <v>358539.54</v>
      </c>
      <c r="F55" s="62"/>
      <c r="G55" s="191">
        <f>SUM(G20+G31+G48)</f>
        <v>470254.42</v>
      </c>
      <c r="H55" s="231">
        <f>SUM(H20+H31+H48)</f>
        <v>461799.12999999995</v>
      </c>
      <c r="I55" s="218"/>
      <c r="J55" s="191">
        <f>SUM(J48+J31+J20)</f>
        <v>526862.27863420011</v>
      </c>
      <c r="K55" s="232">
        <f>SUM(K48+K31+K20)</f>
        <v>526862.27863420011</v>
      </c>
      <c r="L55" s="231">
        <f>SUM(L20+L31+L48)</f>
        <v>492982.21240000002</v>
      </c>
      <c r="M55" s="233"/>
      <c r="N55" s="191">
        <f>SUM(N48+N31+N20)</f>
        <v>556780.93999999994</v>
      </c>
      <c r="O55" s="232">
        <f>SUM(O48+O31+O20)</f>
        <v>556782</v>
      </c>
      <c r="P55" s="231">
        <f>SUM(P20+P31+P48)</f>
        <v>533094.57000000007</v>
      </c>
      <c r="Q55" s="232"/>
      <c r="R55" s="234">
        <f>SUM(R53+R48+R31+R20)</f>
        <v>601874.62611199997</v>
      </c>
      <c r="S55" s="115"/>
      <c r="T55" s="266">
        <f>SUM(R55-N55)</f>
        <v>45093.686112000025</v>
      </c>
      <c r="U55" s="275">
        <f>SUM(T55/N55)</f>
        <v>8.0989996015309054E-2</v>
      </c>
    </row>
    <row r="56" spans="1:27" ht="5.25" customHeight="1" thickTop="1" thickBot="1">
      <c r="C56" s="62"/>
      <c r="D56" s="193"/>
      <c r="E56" s="194"/>
      <c r="F56" s="62"/>
      <c r="G56" s="193"/>
      <c r="H56" s="235"/>
      <c r="I56" s="226"/>
      <c r="J56" s="193"/>
      <c r="K56" s="236"/>
      <c r="L56" s="235"/>
      <c r="M56" s="195"/>
      <c r="N56" s="193"/>
      <c r="O56" s="236"/>
      <c r="P56" s="235"/>
      <c r="Q56" s="236"/>
      <c r="R56" s="237"/>
      <c r="S56" s="116"/>
      <c r="T56" s="267"/>
      <c r="U56" s="277"/>
    </row>
    <row r="57" spans="1:27" ht="10.5" customHeight="1">
      <c r="B57" s="314" t="s">
        <v>210</v>
      </c>
      <c r="C57" s="62"/>
      <c r="D57" s="315">
        <f>SUM((D55-363300)/(363300))</f>
        <v>3.1836884117809043E-2</v>
      </c>
      <c r="E57" s="316"/>
      <c r="F57" s="317"/>
      <c r="G57" s="315">
        <f>SUM((G55-D55)/(D55))</f>
        <v>0.25445890927416942</v>
      </c>
      <c r="H57" s="250"/>
      <c r="I57" s="318"/>
      <c r="J57" s="315">
        <f>SUM((J55-G55)/(G55))</f>
        <v>0.12037708998928734</v>
      </c>
      <c r="K57" s="250"/>
      <c r="L57" s="250"/>
      <c r="M57" s="250"/>
      <c r="N57" s="315">
        <f>SUM((N55-K55)/(K55))</f>
        <v>5.6786493509003576E-2</v>
      </c>
      <c r="O57" s="250"/>
      <c r="P57" s="250"/>
      <c r="Q57" s="250"/>
      <c r="R57" s="315">
        <f>SUM((R55-N55)/(N55))</f>
        <v>8.0989996015309054E-2</v>
      </c>
      <c r="S57" s="317"/>
      <c r="T57" s="250"/>
      <c r="U57" s="319"/>
      <c r="V57" s="51"/>
      <c r="W57" s="51"/>
    </row>
    <row r="58" spans="1:27" ht="10.5" customHeight="1">
      <c r="C58" s="62"/>
      <c r="D58" s="195">
        <f>SUM(D55-363300)</f>
        <v>11566.340000000026</v>
      </c>
      <c r="E58" s="196"/>
      <c r="F58" s="62"/>
      <c r="G58" s="195">
        <f>SUM(G55-D55)</f>
        <v>95388.079999999958</v>
      </c>
      <c r="H58" s="195"/>
      <c r="I58" s="226"/>
      <c r="J58" s="195">
        <f>SUM(J55-G55)</f>
        <v>56607.858634200122</v>
      </c>
      <c r="K58" s="195"/>
      <c r="L58" s="195"/>
      <c r="M58" s="195"/>
      <c r="N58" s="195">
        <f>SUM(N55-K55)</f>
        <v>29918.661365799839</v>
      </c>
      <c r="O58" s="195"/>
      <c r="P58" s="195"/>
      <c r="Q58" s="195"/>
      <c r="R58" s="195">
        <f>SUM(R55-N55)</f>
        <v>45093.686112000025</v>
      </c>
      <c r="S58" s="62"/>
      <c r="T58" s="195"/>
      <c r="U58" s="278"/>
    </row>
    <row r="59" spans="1:27" ht="10.5" customHeight="1">
      <c r="C59" s="62"/>
      <c r="D59" s="195"/>
      <c r="E59" s="196"/>
      <c r="F59" s="62"/>
      <c r="G59" s="195"/>
      <c r="H59" s="195"/>
      <c r="I59" s="226"/>
      <c r="J59" s="195"/>
      <c r="K59" s="195"/>
      <c r="L59" s="195"/>
      <c r="M59" s="195"/>
      <c r="N59" s="195"/>
      <c r="O59" s="195"/>
      <c r="P59" s="195"/>
      <c r="Q59" s="195"/>
      <c r="R59" s="195"/>
      <c r="S59" s="62"/>
      <c r="T59" s="195"/>
      <c r="U59" s="278"/>
    </row>
    <row r="60" spans="1:27" ht="10.5" customHeight="1">
      <c r="C60" s="62"/>
      <c r="D60" s="195"/>
      <c r="E60" s="196"/>
      <c r="F60" s="62"/>
      <c r="G60" s="195"/>
      <c r="H60" s="195"/>
      <c r="I60" s="226"/>
      <c r="J60" s="195"/>
      <c r="K60" s="195"/>
      <c r="L60" s="195"/>
      <c r="M60" s="195"/>
      <c r="N60" s="195"/>
      <c r="O60" s="195"/>
      <c r="P60" s="195"/>
      <c r="Q60" s="195"/>
      <c r="R60" s="195"/>
      <c r="S60" s="62"/>
      <c r="T60" s="195"/>
      <c r="U60" s="278"/>
    </row>
    <row r="61" spans="1:27" ht="10.5" customHeight="1">
      <c r="C61" s="62"/>
      <c r="D61" s="195"/>
      <c r="E61" s="196"/>
      <c r="F61" s="62"/>
      <c r="G61" s="195"/>
      <c r="H61" s="195"/>
      <c r="I61" s="226"/>
      <c r="J61" s="195"/>
      <c r="K61" s="195"/>
      <c r="L61" s="195"/>
      <c r="M61" s="195"/>
      <c r="N61" s="195"/>
      <c r="O61" s="195"/>
      <c r="P61" s="195"/>
      <c r="Q61" s="195"/>
      <c r="R61" s="195"/>
      <c r="S61" s="62"/>
      <c r="T61" s="195"/>
      <c r="U61" s="278"/>
    </row>
    <row r="62" spans="1:27" ht="10.5" customHeight="1">
      <c r="C62" s="62"/>
      <c r="D62" s="195"/>
      <c r="E62" s="196"/>
      <c r="F62" s="62"/>
      <c r="G62" s="195"/>
      <c r="H62" s="195"/>
      <c r="I62" s="226"/>
      <c r="J62" s="195"/>
      <c r="K62" s="195"/>
      <c r="L62" s="195"/>
      <c r="M62" s="195"/>
      <c r="N62" s="195"/>
      <c r="O62" s="195"/>
      <c r="P62" s="195"/>
      <c r="Q62" s="195"/>
      <c r="R62" s="195"/>
      <c r="S62" s="62"/>
      <c r="T62" s="195"/>
      <c r="U62" s="278"/>
    </row>
    <row r="63" spans="1:27" ht="18">
      <c r="A63" s="35" t="s">
        <v>31</v>
      </c>
      <c r="B63" s="27"/>
      <c r="C63" s="30"/>
      <c r="D63" s="197"/>
      <c r="E63" s="198" t="s">
        <v>35</v>
      </c>
      <c r="F63" s="30"/>
      <c r="G63" s="197"/>
      <c r="H63" s="198" t="s">
        <v>37</v>
      </c>
      <c r="I63" s="238"/>
      <c r="J63" s="197"/>
      <c r="K63" s="197"/>
      <c r="L63" s="198" t="s">
        <v>41</v>
      </c>
      <c r="M63" s="238"/>
      <c r="N63" s="197"/>
      <c r="O63" s="197"/>
      <c r="P63" s="198" t="s">
        <v>48</v>
      </c>
      <c r="Q63" s="198"/>
      <c r="R63" s="239"/>
      <c r="S63" s="98"/>
      <c r="T63" s="239"/>
      <c r="U63" s="279" t="s">
        <v>186</v>
      </c>
    </row>
    <row r="64" spans="1:27" ht="3.75" customHeight="1" thickBot="1">
      <c r="A64" s="70"/>
      <c r="C64" s="62"/>
      <c r="D64" s="195"/>
      <c r="E64" s="199"/>
      <c r="F64" s="62"/>
      <c r="G64" s="195"/>
      <c r="H64" s="195"/>
      <c r="I64" s="226"/>
      <c r="J64" s="195"/>
      <c r="K64" s="195"/>
      <c r="L64" s="195"/>
      <c r="M64" s="195"/>
      <c r="N64" s="195"/>
      <c r="O64" s="195"/>
      <c r="P64" s="195"/>
      <c r="Q64" s="195"/>
      <c r="R64" s="195"/>
      <c r="S64" s="62"/>
      <c r="T64" s="195"/>
      <c r="U64" s="278"/>
    </row>
    <row r="65" spans="1:21" ht="14">
      <c r="A65" s="70"/>
      <c r="C65" s="40"/>
      <c r="D65" s="200" t="s">
        <v>13</v>
      </c>
      <c r="E65" s="201" t="s">
        <v>6</v>
      </c>
      <c r="F65" s="40"/>
      <c r="G65" s="200" t="s">
        <v>13</v>
      </c>
      <c r="H65" s="201" t="s">
        <v>39</v>
      </c>
      <c r="I65" s="240"/>
      <c r="J65" s="200" t="s">
        <v>13</v>
      </c>
      <c r="K65" s="241" t="s">
        <v>154</v>
      </c>
      <c r="L65" s="201" t="s">
        <v>45</v>
      </c>
      <c r="M65" s="196"/>
      <c r="N65" s="200" t="s">
        <v>13</v>
      </c>
      <c r="O65" s="241" t="s">
        <v>154</v>
      </c>
      <c r="P65" s="201" t="s">
        <v>45</v>
      </c>
      <c r="Q65" s="241"/>
      <c r="R65" s="242" t="s">
        <v>217</v>
      </c>
      <c r="S65" s="99"/>
      <c r="T65" s="268"/>
      <c r="U65" s="280"/>
    </row>
    <row r="66" spans="1:21" ht="14">
      <c r="A66" s="70"/>
      <c r="C66" s="40"/>
      <c r="D66" s="202" t="s">
        <v>34</v>
      </c>
      <c r="E66" s="182" t="s">
        <v>34</v>
      </c>
      <c r="F66" s="40"/>
      <c r="G66" s="202" t="s">
        <v>40</v>
      </c>
      <c r="H66" s="182" t="s">
        <v>40</v>
      </c>
      <c r="I66" s="229"/>
      <c r="J66" s="202" t="s">
        <v>42</v>
      </c>
      <c r="K66" s="196" t="s">
        <v>42</v>
      </c>
      <c r="L66" s="182" t="s">
        <v>42</v>
      </c>
      <c r="M66" s="196"/>
      <c r="N66" s="202" t="s">
        <v>46</v>
      </c>
      <c r="O66" s="196" t="s">
        <v>46</v>
      </c>
      <c r="P66" s="182" t="s">
        <v>46</v>
      </c>
      <c r="Q66" s="196"/>
      <c r="R66" s="243" t="s">
        <v>185</v>
      </c>
      <c r="S66" s="100"/>
      <c r="T66" s="269"/>
      <c r="U66" s="281"/>
    </row>
    <row r="67" spans="1:21" ht="15">
      <c r="A67" s="126" t="s">
        <v>15</v>
      </c>
      <c r="C67" s="30"/>
      <c r="D67" s="203"/>
      <c r="E67" s="204"/>
      <c r="F67" s="40"/>
      <c r="G67" s="203"/>
      <c r="H67" s="177"/>
      <c r="I67" s="226"/>
      <c r="J67" s="203"/>
      <c r="K67" s="244"/>
      <c r="L67" s="177"/>
      <c r="M67" s="244"/>
      <c r="N67" s="203"/>
      <c r="O67" s="244"/>
      <c r="P67" s="177"/>
      <c r="Q67" s="244"/>
      <c r="R67" s="245"/>
      <c r="S67" s="101"/>
      <c r="T67" s="270"/>
      <c r="U67" s="282"/>
    </row>
    <row r="68" spans="1:21" ht="2.25" customHeight="1">
      <c r="A68" s="70"/>
      <c r="C68" s="62"/>
      <c r="D68" s="176"/>
      <c r="E68" s="182"/>
      <c r="F68" s="62"/>
      <c r="G68" s="176"/>
      <c r="H68" s="209"/>
      <c r="I68" s="213"/>
      <c r="J68" s="176"/>
      <c r="K68" s="195"/>
      <c r="L68" s="209"/>
      <c r="M68" s="195"/>
      <c r="N68" s="176"/>
      <c r="O68" s="195"/>
      <c r="P68" s="209"/>
      <c r="Q68" s="195"/>
      <c r="R68" s="246"/>
      <c r="S68" s="102"/>
      <c r="T68" s="271"/>
      <c r="U68" s="283"/>
    </row>
    <row r="69" spans="1:21" ht="13.5" customHeight="1">
      <c r="A69" s="71" t="s">
        <v>0</v>
      </c>
      <c r="B69" s="71" t="s">
        <v>7</v>
      </c>
      <c r="C69" s="62"/>
      <c r="D69" s="176"/>
      <c r="E69" s="182"/>
      <c r="F69" s="68"/>
      <c r="G69" s="176"/>
      <c r="H69" s="209"/>
      <c r="I69" s="213"/>
      <c r="J69" s="176"/>
      <c r="K69" s="195"/>
      <c r="L69" s="209"/>
      <c r="M69" s="195"/>
      <c r="N69" s="176"/>
      <c r="O69" s="195"/>
      <c r="P69" s="209"/>
      <c r="Q69" s="195"/>
      <c r="R69" s="246"/>
      <c r="S69" s="102"/>
      <c r="T69" s="272"/>
      <c r="U69" s="284" t="s">
        <v>47</v>
      </c>
    </row>
    <row r="70" spans="1:21" ht="13.5" customHeight="1">
      <c r="A70" s="28">
        <v>4710510</v>
      </c>
      <c r="B70" s="24" t="s">
        <v>27</v>
      </c>
      <c r="C70" s="72"/>
      <c r="D70" s="176">
        <v>348366.36</v>
      </c>
      <c r="E70" s="177">
        <v>348367.13</v>
      </c>
      <c r="F70" s="72"/>
      <c r="G70" s="176">
        <v>387528.42</v>
      </c>
      <c r="H70" s="247">
        <v>387528.42</v>
      </c>
      <c r="I70" s="213"/>
      <c r="J70" s="176">
        <v>470362.28224712005</v>
      </c>
      <c r="K70" s="195">
        <v>470362.28224712005</v>
      </c>
      <c r="L70" s="247">
        <v>469161.48</v>
      </c>
      <c r="M70" s="195"/>
      <c r="N70" s="176">
        <v>514781</v>
      </c>
      <c r="O70" s="195">
        <v>514781</v>
      </c>
      <c r="P70" s="247">
        <v>514781</v>
      </c>
      <c r="Q70" s="195"/>
      <c r="R70" s="248">
        <f>SUM(R55-R80-R85-10000)</f>
        <v>559874.62611199997</v>
      </c>
      <c r="S70" s="102"/>
      <c r="T70" s="271">
        <f t="shared" ref="T70:T75" si="6">SUM(R70-N70)</f>
        <v>45093.626111999969</v>
      </c>
      <c r="U70" s="285">
        <f>SUM(T70/N70)</f>
        <v>8.7597689331968293E-2</v>
      </c>
    </row>
    <row r="71" spans="1:21" ht="13.5" customHeight="1">
      <c r="A71" s="28"/>
      <c r="B71" s="51" t="s">
        <v>28</v>
      </c>
      <c r="C71" s="73"/>
      <c r="D71" s="205">
        <v>116122.12</v>
      </c>
      <c r="E71" s="206">
        <v>116122.12</v>
      </c>
      <c r="F71" s="73"/>
      <c r="G71" s="205">
        <f>SUM(G70/3)</f>
        <v>129176.14</v>
      </c>
      <c r="H71" s="249">
        <f>SUM(H70/3)</f>
        <v>129176.14</v>
      </c>
      <c r="I71" s="213"/>
      <c r="J71" s="205">
        <v>156787.42741570668</v>
      </c>
      <c r="K71" s="250">
        <v>156787.42741570668</v>
      </c>
      <c r="L71" s="249">
        <v>156387.43</v>
      </c>
      <c r="M71" s="250"/>
      <c r="N71" s="322">
        <v>171159.36</v>
      </c>
      <c r="O71" s="322">
        <v>171159.36</v>
      </c>
      <c r="P71" s="322">
        <v>171159.36</v>
      </c>
      <c r="Q71" s="250"/>
      <c r="R71" s="251">
        <f>SUM(R70/3)</f>
        <v>186624.87537066665</v>
      </c>
      <c r="S71" s="124"/>
      <c r="T71" s="271">
        <f t="shared" si="6"/>
        <v>15465.515370666661</v>
      </c>
      <c r="U71" s="285">
        <f>SUM(T71/N71)</f>
        <v>9.0357403595495225E-2</v>
      </c>
    </row>
    <row r="72" spans="1:21" ht="13.5" customHeight="1">
      <c r="A72" s="28"/>
      <c r="B72" s="51" t="s">
        <v>184</v>
      </c>
      <c r="C72" s="73"/>
      <c r="D72" s="205">
        <f>SUM(D70/3)</f>
        <v>116122.12</v>
      </c>
      <c r="E72" s="206">
        <v>116122.12</v>
      </c>
      <c r="F72" s="73"/>
      <c r="G72" s="205">
        <f>SUM(G70/3)</f>
        <v>129176.14</v>
      </c>
      <c r="H72" s="249">
        <f>SUM(H70/3)</f>
        <v>129176.14</v>
      </c>
      <c r="I72" s="213"/>
      <c r="J72" s="205">
        <v>156787.42741570668</v>
      </c>
      <c r="K72" s="250">
        <v>156787.42741570668</v>
      </c>
      <c r="L72" s="249">
        <v>156387.43</v>
      </c>
      <c r="M72" s="250"/>
      <c r="N72" s="322">
        <v>171159.36</v>
      </c>
      <c r="O72" s="322">
        <v>171159.36</v>
      </c>
      <c r="P72" s="322">
        <v>171159.36</v>
      </c>
      <c r="Q72" s="250"/>
      <c r="R72" s="251">
        <f>SUM(R70/3)</f>
        <v>186624.87537066665</v>
      </c>
      <c r="S72" s="124"/>
      <c r="T72" s="271">
        <f t="shared" si="6"/>
        <v>15465.515370666661</v>
      </c>
      <c r="U72" s="285">
        <f>SUM(T72/N72)</f>
        <v>9.0357403595495225E-2</v>
      </c>
    </row>
    <row r="73" spans="1:21" ht="12.75" customHeight="1">
      <c r="A73" s="74"/>
      <c r="B73" s="51" t="s">
        <v>180</v>
      </c>
      <c r="C73" s="73"/>
      <c r="D73" s="205">
        <f>SUM(D70/3)</f>
        <v>116122.12</v>
      </c>
      <c r="E73" s="206">
        <v>116122.12</v>
      </c>
      <c r="F73" s="75"/>
      <c r="G73" s="205">
        <f>SUM(G70/3)</f>
        <v>129176.14</v>
      </c>
      <c r="H73" s="249">
        <f>SUM(H70/3)</f>
        <v>129176.14</v>
      </c>
      <c r="I73" s="252"/>
      <c r="J73" s="205">
        <v>156787.42741570668</v>
      </c>
      <c r="K73" s="250">
        <v>156787.42741570668</v>
      </c>
      <c r="L73" s="249">
        <v>156387.43</v>
      </c>
      <c r="M73" s="250"/>
      <c r="N73" s="322">
        <v>171159.36</v>
      </c>
      <c r="O73" s="322">
        <v>171159.36</v>
      </c>
      <c r="P73" s="322">
        <v>171159.36</v>
      </c>
      <c r="Q73" s="250"/>
      <c r="R73" s="251">
        <f>SUM(R70/3)</f>
        <v>186624.87537066665</v>
      </c>
      <c r="S73" s="124"/>
      <c r="T73" s="271">
        <f t="shared" si="6"/>
        <v>15465.515370666661</v>
      </c>
      <c r="U73" s="285">
        <f>SUM(T73/N73)</f>
        <v>9.0357403595495225E-2</v>
      </c>
    </row>
    <row r="74" spans="1:21" ht="13.5" customHeight="1">
      <c r="A74" s="74"/>
      <c r="B74" s="51"/>
      <c r="C74" s="73"/>
      <c r="D74" s="185">
        <v>348366.36</v>
      </c>
      <c r="E74" s="207">
        <f>SUM(E70)</f>
        <v>348367.13</v>
      </c>
      <c r="F74" s="77"/>
      <c r="G74" s="185">
        <f>SUM(G70)</f>
        <v>387528.42</v>
      </c>
      <c r="H74" s="253">
        <f>SUM(H70)</f>
        <v>387528.42</v>
      </c>
      <c r="I74" s="213"/>
      <c r="J74" s="185">
        <v>470362.28224712005</v>
      </c>
      <c r="K74" s="216">
        <v>470362.28224712005</v>
      </c>
      <c r="L74" s="253">
        <f>L70</f>
        <v>469161.48</v>
      </c>
      <c r="M74" s="195"/>
      <c r="N74" s="185">
        <v>514781</v>
      </c>
      <c r="O74" s="216">
        <v>514781</v>
      </c>
      <c r="P74" s="253">
        <f>P70</f>
        <v>514781</v>
      </c>
      <c r="Q74" s="216"/>
      <c r="R74" s="254">
        <f>R70</f>
        <v>559874.62611199997</v>
      </c>
      <c r="S74" s="102"/>
      <c r="T74" s="271">
        <f t="shared" si="6"/>
        <v>45093.626111999969</v>
      </c>
      <c r="U74" s="285">
        <f>SUM(T74/N74)</f>
        <v>8.7597689331968293E-2</v>
      </c>
    </row>
    <row r="75" spans="1:21" ht="4.5" customHeight="1">
      <c r="A75" s="74"/>
      <c r="B75" s="51"/>
      <c r="C75" s="73"/>
      <c r="D75" s="176"/>
      <c r="E75" s="177"/>
      <c r="F75" s="77"/>
      <c r="G75" s="176"/>
      <c r="H75" s="209"/>
      <c r="I75" s="213"/>
      <c r="J75" s="176"/>
      <c r="K75" s="195"/>
      <c r="L75" s="209"/>
      <c r="M75" s="195"/>
      <c r="N75" s="176"/>
      <c r="O75" s="195"/>
      <c r="P75" s="209"/>
      <c r="Q75" s="195"/>
      <c r="R75" s="246"/>
      <c r="S75" s="102"/>
      <c r="T75" s="271">
        <f t="shared" si="6"/>
        <v>0</v>
      </c>
      <c r="U75" s="283"/>
    </row>
    <row r="76" spans="1:21" ht="15">
      <c r="A76" s="126" t="s">
        <v>8</v>
      </c>
      <c r="B76" s="51"/>
      <c r="C76" s="73"/>
      <c r="D76" s="176"/>
      <c r="E76" s="177"/>
      <c r="F76" s="77"/>
      <c r="G76" s="176"/>
      <c r="H76" s="209"/>
      <c r="I76" s="213"/>
      <c r="J76" s="176"/>
      <c r="K76" s="195"/>
      <c r="L76" s="209"/>
      <c r="M76" s="195"/>
      <c r="N76" s="176"/>
      <c r="O76" s="195"/>
      <c r="P76" s="209"/>
      <c r="Q76" s="195"/>
      <c r="R76" s="246"/>
      <c r="S76" s="102"/>
      <c r="T76" s="271"/>
      <c r="U76" s="283"/>
    </row>
    <row r="77" spans="1:21" ht="7.5" customHeight="1">
      <c r="A77" s="74"/>
      <c r="B77" s="51"/>
      <c r="C77" s="73"/>
      <c r="D77" s="205"/>
      <c r="E77" s="206"/>
      <c r="F77" s="75"/>
      <c r="G77" s="205"/>
      <c r="H77" s="255"/>
      <c r="I77" s="213"/>
      <c r="J77" s="205"/>
      <c r="K77" s="250"/>
      <c r="L77" s="255"/>
      <c r="M77" s="250"/>
      <c r="N77" s="205"/>
      <c r="O77" s="250"/>
      <c r="P77" s="255"/>
      <c r="Q77" s="250"/>
      <c r="R77" s="256"/>
      <c r="S77" s="103"/>
      <c r="T77" s="273"/>
      <c r="U77" s="286"/>
    </row>
    <row r="78" spans="1:21" ht="13.5" customHeight="1">
      <c r="A78" s="28">
        <v>4640333</v>
      </c>
      <c r="B78" s="24" t="s">
        <v>29</v>
      </c>
      <c r="C78" s="72"/>
      <c r="D78" s="178">
        <v>25000</v>
      </c>
      <c r="E78" s="177">
        <v>15536</v>
      </c>
      <c r="F78" s="59">
        <v>15536</v>
      </c>
      <c r="G78" s="178">
        <v>25000</v>
      </c>
      <c r="H78" s="215">
        <v>17424</v>
      </c>
      <c r="I78" s="213"/>
      <c r="J78" s="178">
        <v>30000</v>
      </c>
      <c r="K78" s="213">
        <v>30000</v>
      </c>
      <c r="L78" s="215">
        <v>23778</v>
      </c>
      <c r="M78" s="213"/>
      <c r="N78" s="178">
        <v>30000</v>
      </c>
      <c r="O78" s="213">
        <v>30000</v>
      </c>
      <c r="P78" s="215">
        <v>30000</v>
      </c>
      <c r="Q78" s="213"/>
      <c r="R78" s="248">
        <v>30000</v>
      </c>
      <c r="S78" s="102"/>
      <c r="T78" s="271">
        <v>0</v>
      </c>
      <c r="U78" s="283">
        <f>SUM(T78/J78)</f>
        <v>0</v>
      </c>
    </row>
    <row r="79" spans="1:21" ht="13.5" customHeight="1">
      <c r="A79" s="28">
        <v>4710631</v>
      </c>
      <c r="B79" s="24" t="s">
        <v>14</v>
      </c>
      <c r="C79" s="72"/>
      <c r="D79" s="178">
        <v>0</v>
      </c>
      <c r="E79" s="177"/>
      <c r="F79" s="59">
        <v>0</v>
      </c>
      <c r="G79" s="178">
        <v>226</v>
      </c>
      <c r="H79" s="215">
        <v>364.52</v>
      </c>
      <c r="I79" s="213"/>
      <c r="J79" s="178">
        <v>0</v>
      </c>
      <c r="K79" s="213">
        <v>0</v>
      </c>
      <c r="L79" s="215">
        <v>0</v>
      </c>
      <c r="M79" s="213"/>
      <c r="N79" s="178">
        <v>0</v>
      </c>
      <c r="O79" s="213">
        <v>0</v>
      </c>
      <c r="P79" s="215">
        <v>0</v>
      </c>
      <c r="Q79" s="213"/>
      <c r="R79" s="248">
        <v>0</v>
      </c>
      <c r="S79" s="102"/>
      <c r="T79" s="271">
        <v>0</v>
      </c>
      <c r="U79" s="283">
        <v>0</v>
      </c>
    </row>
    <row r="80" spans="1:21" ht="13.5" customHeight="1">
      <c r="A80" s="28"/>
      <c r="C80" s="72"/>
      <c r="D80" s="208">
        <f>SUM(D78)</f>
        <v>25000</v>
      </c>
      <c r="E80" s="181">
        <f>SUM(E78:E79)</f>
        <v>15536</v>
      </c>
      <c r="F80" s="76">
        <f>SUM(F78:F79)</f>
        <v>15536</v>
      </c>
      <c r="G80" s="208">
        <f>SUM(G78:G79)</f>
        <v>25226</v>
      </c>
      <c r="H80" s="207">
        <f>SUM(H78:H79)</f>
        <v>17788.52</v>
      </c>
      <c r="I80" s="213"/>
      <c r="J80" s="208">
        <v>30000</v>
      </c>
      <c r="K80" s="257">
        <v>30000</v>
      </c>
      <c r="L80" s="207">
        <f>SUM(L78:L79)</f>
        <v>23778</v>
      </c>
      <c r="M80" s="213"/>
      <c r="N80" s="208">
        <v>30000</v>
      </c>
      <c r="O80" s="257">
        <v>30000</v>
      </c>
      <c r="P80" s="207">
        <f>SUM(P78:P79)</f>
        <v>30000</v>
      </c>
      <c r="Q80" s="257"/>
      <c r="R80" s="254">
        <f>SUM(R78:R79)</f>
        <v>30000</v>
      </c>
      <c r="S80" s="102"/>
      <c r="T80" s="271">
        <v>0</v>
      </c>
      <c r="U80" s="283">
        <v>0</v>
      </c>
    </row>
    <row r="81" spans="1:21" ht="5.25" customHeight="1">
      <c r="A81" s="28"/>
      <c r="C81" s="72"/>
      <c r="D81" s="176"/>
      <c r="E81" s="209"/>
      <c r="F81" s="72"/>
      <c r="G81" s="176"/>
      <c r="H81" s="209"/>
      <c r="I81" s="229"/>
      <c r="J81" s="176"/>
      <c r="K81" s="195"/>
      <c r="L81" s="209"/>
      <c r="M81" s="195"/>
      <c r="N81" s="176"/>
      <c r="O81" s="195"/>
      <c r="P81" s="209"/>
      <c r="Q81" s="195"/>
      <c r="R81" s="248"/>
      <c r="S81" s="102"/>
      <c r="T81" s="271"/>
      <c r="U81" s="283"/>
    </row>
    <row r="82" spans="1:21" ht="15">
      <c r="A82" s="126" t="s">
        <v>9</v>
      </c>
      <c r="C82" s="72"/>
      <c r="D82" s="176"/>
      <c r="E82" s="209"/>
      <c r="F82" s="72"/>
      <c r="G82" s="176"/>
      <c r="H82" s="209"/>
      <c r="I82" s="229"/>
      <c r="J82" s="176"/>
      <c r="K82" s="195"/>
      <c r="L82" s="209"/>
      <c r="M82" s="195"/>
      <c r="N82" s="176"/>
      <c r="O82" s="195"/>
      <c r="P82" s="209"/>
      <c r="Q82" s="195"/>
      <c r="R82" s="248"/>
      <c r="S82" s="102"/>
      <c r="T82" s="271"/>
      <c r="U82" s="283"/>
    </row>
    <row r="83" spans="1:21" ht="8.25" customHeight="1">
      <c r="A83" s="28"/>
      <c r="C83" s="72"/>
      <c r="D83" s="176"/>
      <c r="E83" s="209"/>
      <c r="F83" s="72"/>
      <c r="G83" s="176"/>
      <c r="H83" s="209"/>
      <c r="I83" s="229"/>
      <c r="J83" s="176"/>
      <c r="K83" s="195"/>
      <c r="L83" s="209"/>
      <c r="M83" s="195"/>
      <c r="N83" s="176"/>
      <c r="O83" s="195"/>
      <c r="P83" s="209"/>
      <c r="Q83" s="195"/>
      <c r="R83" s="248"/>
      <c r="S83" s="102"/>
      <c r="T83" s="271"/>
      <c r="U83" s="283"/>
    </row>
    <row r="84" spans="1:21" ht="13.5" customHeight="1">
      <c r="A84" s="28"/>
      <c r="B84" s="24" t="s">
        <v>10</v>
      </c>
      <c r="C84" s="72"/>
      <c r="D84" s="176">
        <v>1500</v>
      </c>
      <c r="E84" s="209">
        <v>700</v>
      </c>
      <c r="F84" s="72"/>
      <c r="G84" s="176">
        <v>1500</v>
      </c>
      <c r="H84" s="209">
        <v>769.28</v>
      </c>
      <c r="I84" s="213"/>
      <c r="J84" s="176">
        <v>1500</v>
      </c>
      <c r="K84" s="195">
        <v>1500</v>
      </c>
      <c r="L84" s="209">
        <v>1950.52</v>
      </c>
      <c r="M84" s="195"/>
      <c r="N84" s="176">
        <v>2000</v>
      </c>
      <c r="O84" s="195">
        <v>2000</v>
      </c>
      <c r="P84" s="209">
        <v>2000</v>
      </c>
      <c r="Q84" s="195"/>
      <c r="R84" s="248">
        <v>2000</v>
      </c>
      <c r="S84" s="102"/>
      <c r="T84" s="271">
        <f>SUM(R84-P84)</f>
        <v>0</v>
      </c>
      <c r="U84" s="285">
        <f>SUM(T84/P84)</f>
        <v>0</v>
      </c>
    </row>
    <row r="85" spans="1:21" ht="13.5" customHeight="1">
      <c r="A85" s="28"/>
      <c r="C85" s="72"/>
      <c r="D85" s="180">
        <v>1500</v>
      </c>
      <c r="E85" s="190">
        <v>700</v>
      </c>
      <c r="F85" s="72"/>
      <c r="G85" s="180">
        <f>SUM(G84)</f>
        <v>1500</v>
      </c>
      <c r="H85" s="190">
        <f>SUM(H84)</f>
        <v>769.28</v>
      </c>
      <c r="I85" s="213"/>
      <c r="J85" s="189">
        <v>1500</v>
      </c>
      <c r="K85" s="216">
        <v>1500</v>
      </c>
      <c r="L85" s="190">
        <f>SUM(L84)</f>
        <v>1950.52</v>
      </c>
      <c r="M85" s="195"/>
      <c r="N85" s="189">
        <v>1500</v>
      </c>
      <c r="O85" s="216">
        <v>2000</v>
      </c>
      <c r="P85" s="190">
        <f>SUM(P84)</f>
        <v>2000</v>
      </c>
      <c r="Q85" s="216"/>
      <c r="R85" s="254">
        <f>SUM(R84)</f>
        <v>2000</v>
      </c>
      <c r="S85" s="102"/>
      <c r="T85" s="271">
        <f>SUM(R85-P85)</f>
        <v>0</v>
      </c>
      <c r="U85" s="285">
        <f>SUM(T85/P85)</f>
        <v>0</v>
      </c>
    </row>
    <row r="86" spans="1:21" ht="13.5" customHeight="1">
      <c r="A86" s="28"/>
      <c r="C86" s="72"/>
      <c r="D86" s="176"/>
      <c r="E86" s="209"/>
      <c r="F86" s="72"/>
      <c r="G86" s="176"/>
      <c r="H86" s="209"/>
      <c r="I86" s="213"/>
      <c r="J86" s="176"/>
      <c r="K86" s="195"/>
      <c r="L86" s="209"/>
      <c r="M86" s="195"/>
      <c r="N86" s="176"/>
      <c r="O86" s="195"/>
      <c r="P86" s="209"/>
      <c r="Q86" s="195"/>
      <c r="R86" s="246"/>
      <c r="S86" s="102"/>
      <c r="T86" s="271"/>
      <c r="U86" s="285"/>
    </row>
    <row r="87" spans="1:21" ht="13" thickBot="1">
      <c r="B87" s="127" t="s">
        <v>12</v>
      </c>
      <c r="C87" s="77"/>
      <c r="D87" s="210">
        <f>SUM(D74+D80+D85)</f>
        <v>374866.36</v>
      </c>
      <c r="E87" s="192">
        <f>SUM(E74+E80+E85)</f>
        <v>364603.13</v>
      </c>
      <c r="F87" s="72"/>
      <c r="G87" s="210">
        <f>SUM(G74+G80+G85)</f>
        <v>414254.42</v>
      </c>
      <c r="H87" s="231">
        <f>SUM(H74+H80+H85)</f>
        <v>406086.22000000003</v>
      </c>
      <c r="I87" s="213"/>
      <c r="J87" s="210">
        <v>501862.28224712005</v>
      </c>
      <c r="K87" s="232">
        <v>501862.28224712005</v>
      </c>
      <c r="L87" s="231">
        <f>SUM(L85+L80+L74)</f>
        <v>494890</v>
      </c>
      <c r="M87" s="233"/>
      <c r="N87" s="210">
        <v>546781</v>
      </c>
      <c r="O87" s="232">
        <v>546781</v>
      </c>
      <c r="P87" s="231">
        <f>SUM(P85+P80+P74)</f>
        <v>546781</v>
      </c>
      <c r="Q87" s="232"/>
      <c r="R87" s="258">
        <f>R85+R80+R74</f>
        <v>591874.62611199997</v>
      </c>
      <c r="S87" s="122"/>
      <c r="T87" s="271">
        <f>SUM(R87-N87)</f>
        <v>45093.626111999969</v>
      </c>
      <c r="U87" s="285">
        <f>SUM(T87/N87)</f>
        <v>8.2471091921628534E-2</v>
      </c>
    </row>
    <row r="88" spans="1:21" ht="8.25" customHeight="1" thickTop="1" thickBot="1">
      <c r="B88" s="28"/>
      <c r="D88" s="211"/>
      <c r="E88" s="194"/>
      <c r="G88" s="211"/>
      <c r="H88" s="259"/>
      <c r="I88" s="229"/>
      <c r="J88" s="211"/>
      <c r="K88" s="260"/>
      <c r="L88" s="259"/>
      <c r="M88" s="244"/>
      <c r="N88" s="211"/>
      <c r="O88" s="260"/>
      <c r="P88" s="259"/>
      <c r="Q88" s="260"/>
      <c r="R88" s="261"/>
      <c r="S88" s="123"/>
      <c r="T88" s="274"/>
      <c r="U88" s="287"/>
    </row>
    <row r="89" spans="1:21" ht="5.25" customHeight="1">
      <c r="B89" s="28"/>
      <c r="D89" s="196"/>
      <c r="E89" s="199"/>
      <c r="G89" s="196"/>
      <c r="H89" s="196"/>
      <c r="I89" s="226"/>
      <c r="J89" s="196"/>
      <c r="K89" s="196"/>
      <c r="L89" s="196"/>
      <c r="M89" s="196"/>
      <c r="N89" s="196"/>
      <c r="O89" s="196"/>
      <c r="P89" s="196"/>
      <c r="Q89" s="196"/>
      <c r="R89" s="196"/>
      <c r="S89" s="40"/>
      <c r="T89" s="196"/>
      <c r="U89" s="40"/>
    </row>
    <row r="90" spans="1:21" s="33" customFormat="1" ht="15">
      <c r="A90" s="128" t="s">
        <v>44</v>
      </c>
      <c r="B90" s="78"/>
      <c r="C90" s="79"/>
      <c r="D90" s="212">
        <v>0</v>
      </c>
      <c r="E90" s="212">
        <f>SUM(E87-E55)</f>
        <v>6063.5900000000256</v>
      </c>
      <c r="F90" s="79"/>
      <c r="G90" s="212">
        <f>SUM(G87-G55)</f>
        <v>-56000</v>
      </c>
      <c r="H90" s="212">
        <f>SUM(H87-H55)</f>
        <v>-55712.909999999916</v>
      </c>
      <c r="I90" s="218"/>
      <c r="J90" s="212">
        <v>-24999.99638707994</v>
      </c>
      <c r="K90" s="212">
        <v>-24999.99638707994</v>
      </c>
      <c r="L90" s="212">
        <f>SUM(L87-L55)</f>
        <v>1907.7875999999815</v>
      </c>
      <c r="M90" s="212"/>
      <c r="N90" s="212">
        <v>-24999.99638707994</v>
      </c>
      <c r="O90" s="212">
        <v>-24999.99638707994</v>
      </c>
      <c r="P90" s="212">
        <f>SUM(P87-P55)</f>
        <v>13686.429999999935</v>
      </c>
      <c r="Q90" s="212"/>
      <c r="R90" s="212">
        <f>SUM(R87-R55)</f>
        <v>-10000</v>
      </c>
      <c r="S90" s="80"/>
      <c r="T90" s="212"/>
      <c r="U90" s="80"/>
    </row>
    <row r="91" spans="1:21" s="33" customFormat="1">
      <c r="A91" s="172" t="s">
        <v>216</v>
      </c>
      <c r="B91" s="78"/>
      <c r="C91" s="79"/>
      <c r="D91" s="212"/>
      <c r="E91" s="212"/>
      <c r="F91" s="79"/>
      <c r="G91" s="212"/>
      <c r="H91" s="212"/>
      <c r="I91" s="218"/>
      <c r="J91" s="212"/>
      <c r="K91" s="212"/>
      <c r="L91" s="212"/>
      <c r="M91" s="212"/>
      <c r="N91" s="212"/>
      <c r="O91" s="212"/>
      <c r="P91" s="212"/>
      <c r="Q91" s="212"/>
      <c r="R91" s="212"/>
      <c r="S91" s="80"/>
      <c r="T91" s="212"/>
      <c r="U91" s="80"/>
    </row>
    <row r="92" spans="1:21" ht="6" customHeight="1">
      <c r="B92" s="28"/>
      <c r="D92" s="30"/>
      <c r="G92" s="244"/>
      <c r="H92" s="244"/>
      <c r="I92" s="262"/>
      <c r="J92" s="244"/>
      <c r="K92" s="244"/>
      <c r="L92" s="244"/>
      <c r="M92" s="244"/>
      <c r="N92" s="244"/>
      <c r="O92" s="244"/>
      <c r="P92" s="244"/>
      <c r="Q92" s="244"/>
      <c r="R92" s="244"/>
      <c r="S92" s="30"/>
      <c r="T92" s="30"/>
      <c r="U92" s="30"/>
    </row>
    <row r="93" spans="1:21" ht="3.75" customHeight="1">
      <c r="A93" s="81"/>
      <c r="B93" s="82"/>
      <c r="C93" s="83"/>
      <c r="D93" s="84"/>
      <c r="E93" s="85"/>
      <c r="F93" s="85"/>
      <c r="G93" s="263"/>
      <c r="H93" s="263"/>
      <c r="I93" s="218"/>
      <c r="J93" s="263"/>
      <c r="K93" s="263"/>
      <c r="L93" s="263"/>
      <c r="M93" s="263"/>
      <c r="N93" s="263"/>
      <c r="O93" s="263"/>
      <c r="P93" s="263"/>
      <c r="Q93" s="263"/>
      <c r="R93" s="263"/>
      <c r="S93" s="84"/>
      <c r="T93" s="84"/>
      <c r="U93" s="84"/>
    </row>
    <row r="94" spans="1:21" ht="7.5" customHeight="1">
      <c r="B94" s="28"/>
      <c r="D94" s="30"/>
      <c r="G94" s="218"/>
      <c r="H94" s="262"/>
      <c r="I94" s="262"/>
      <c r="J94" s="262"/>
      <c r="K94" s="262"/>
      <c r="L94" s="262"/>
      <c r="M94" s="262"/>
      <c r="N94" s="262"/>
      <c r="O94" s="262"/>
      <c r="P94" s="262"/>
      <c r="Q94" s="262"/>
      <c r="R94" s="262"/>
      <c r="S94" s="41"/>
      <c r="T94" s="41"/>
      <c r="U94" s="41"/>
    </row>
    <row r="95" spans="1:21" ht="15">
      <c r="A95" s="173" t="s">
        <v>181</v>
      </c>
      <c r="B95" s="87"/>
      <c r="C95" s="88"/>
      <c r="D95" s="88"/>
      <c r="E95" s="88"/>
      <c r="F95" s="88"/>
      <c r="G95" s="264"/>
      <c r="H95" s="264"/>
      <c r="I95" s="264"/>
      <c r="J95" s="264"/>
      <c r="K95" s="264"/>
      <c r="L95" s="264"/>
      <c r="M95" s="264"/>
      <c r="N95" s="264"/>
      <c r="O95" s="264"/>
      <c r="P95" s="264"/>
      <c r="Q95" s="264"/>
      <c r="R95" s="264"/>
      <c r="S95" s="88"/>
      <c r="T95" s="88"/>
      <c r="U95" s="88"/>
    </row>
    <row r="96" spans="1:21" ht="4.5" customHeight="1">
      <c r="A96" s="86"/>
      <c r="B96" s="87"/>
      <c r="C96" s="88"/>
      <c r="D96" s="88"/>
      <c r="E96" s="88"/>
      <c r="F96" s="88"/>
      <c r="G96" s="264"/>
      <c r="H96" s="264"/>
      <c r="I96" s="264"/>
      <c r="J96" s="264"/>
      <c r="K96" s="264"/>
      <c r="L96" s="264"/>
      <c r="M96" s="264"/>
      <c r="N96" s="264"/>
      <c r="O96" s="264"/>
      <c r="P96" s="264"/>
      <c r="Q96" s="264"/>
      <c r="R96" s="264"/>
      <c r="S96" s="88"/>
      <c r="T96" s="88"/>
      <c r="U96" s="88"/>
    </row>
    <row r="97" spans="1:21">
      <c r="A97" s="87" t="s">
        <v>38</v>
      </c>
      <c r="B97" s="86"/>
      <c r="C97" s="89"/>
      <c r="D97" s="90"/>
      <c r="E97" s="174">
        <v>196618</v>
      </c>
      <c r="F97" s="175"/>
      <c r="G97" s="265"/>
      <c r="H97" s="265">
        <f>SUM(E97+H90)</f>
        <v>140905.09000000008</v>
      </c>
      <c r="I97" s="265"/>
      <c r="J97" s="265"/>
      <c r="K97" s="265"/>
      <c r="L97" s="265">
        <f>SUM(H97+L90)</f>
        <v>142812.87760000007</v>
      </c>
      <c r="M97" s="265"/>
      <c r="N97" s="265"/>
      <c r="O97" s="265"/>
      <c r="P97" s="265">
        <f>SUM(L97+P90)</f>
        <v>156499.3076</v>
      </c>
      <c r="Q97" s="265"/>
      <c r="R97" s="265">
        <f>SUM(L97+R90)</f>
        <v>132812.87760000007</v>
      </c>
      <c r="S97" s="174"/>
      <c r="T97" s="174"/>
      <c r="U97" s="174"/>
    </row>
    <row r="98" spans="1:21">
      <c r="A98" s="91"/>
      <c r="B98" s="92"/>
      <c r="C98" s="58"/>
      <c r="D98" s="55"/>
      <c r="E98" s="55"/>
      <c r="F98" s="58"/>
      <c r="G98" s="6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</row>
    <row r="99" spans="1:21" s="27" customFormat="1" ht="14">
      <c r="A99" s="93"/>
      <c r="B99" s="24"/>
      <c r="C99" s="24"/>
      <c r="D99" s="94"/>
      <c r="E99" s="33"/>
      <c r="F99" s="33"/>
      <c r="G99" s="24"/>
    </row>
    <row r="100" spans="1:21" s="27" customFormat="1" ht="3" customHeight="1">
      <c r="A100" s="93"/>
      <c r="B100" s="24"/>
      <c r="C100" s="24"/>
      <c r="D100" s="33"/>
      <c r="E100" s="33"/>
      <c r="F100" s="33"/>
      <c r="G100" s="24"/>
      <c r="H100" s="24"/>
    </row>
    <row r="101" spans="1:21">
      <c r="A101" s="95"/>
      <c r="C101" s="24"/>
      <c r="D101" s="33"/>
      <c r="E101" s="33"/>
      <c r="F101" s="33"/>
      <c r="G101" s="24"/>
      <c r="N101" s="104"/>
    </row>
    <row r="102" spans="1:21">
      <c r="C102" s="24"/>
      <c r="D102" s="33"/>
      <c r="E102" s="33"/>
      <c r="F102" s="33"/>
      <c r="G102" s="24"/>
    </row>
    <row r="105" spans="1:21">
      <c r="A105" s="95"/>
    </row>
    <row r="106" spans="1:21">
      <c r="A106" s="95"/>
    </row>
    <row r="107" spans="1:21">
      <c r="A107" s="28"/>
    </row>
    <row r="108" spans="1:21">
      <c r="A108" s="28"/>
      <c r="B108" s="96"/>
    </row>
    <row r="109" spans="1:21">
      <c r="A109" s="28"/>
      <c r="B109" s="96"/>
    </row>
    <row r="110" spans="1:21">
      <c r="A110" s="28"/>
      <c r="B110" s="97"/>
    </row>
    <row r="112" spans="1:21">
      <c r="A112" s="28"/>
    </row>
    <row r="139" spans="3:5">
      <c r="C139" s="26"/>
    </row>
    <row r="140" spans="3:5">
      <c r="D140" s="25"/>
      <c r="E140" s="25"/>
    </row>
    <row r="141" spans="3:5">
      <c r="D141" s="25"/>
      <c r="E141" s="25"/>
    </row>
    <row r="142" spans="3:5">
      <c r="D142" s="25"/>
      <c r="E142" s="25"/>
    </row>
    <row r="143" spans="3:5">
      <c r="D143" s="25"/>
      <c r="E143" s="25"/>
    </row>
    <row r="144" spans="3:5">
      <c r="D144" s="25"/>
      <c r="E144" s="25"/>
    </row>
  </sheetData>
  <phoneticPr fontId="0" type="noConversion"/>
  <printOptions horizontalCentered="1"/>
  <pageMargins left="0.7" right="0.7" top="0.75" bottom="0.75" header="0.3" footer="0.3"/>
  <pageSetup scale="65" fitToHeight="5" orientation="landscape" r:id="rId1"/>
  <headerFooter alignWithMargins="0"/>
  <colBreaks count="1" manualBreakCount="1">
    <brk id="20" min="1" max="97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55"/>
  <sheetViews>
    <sheetView workbookViewId="0">
      <selection activeCell="C30" sqref="C30"/>
    </sheetView>
  </sheetViews>
  <sheetFormatPr baseColWidth="10" defaultColWidth="8.83203125" defaultRowHeight="14"/>
  <cols>
    <col min="1" max="1" width="4.6640625" style="1" customWidth="1"/>
    <col min="2" max="2" width="18.1640625" style="1" customWidth="1"/>
    <col min="3" max="3" width="38.5" style="1" customWidth="1"/>
    <col min="4" max="4" width="18.83203125" style="1" customWidth="1"/>
    <col min="5" max="5" width="4.5" style="1" customWidth="1"/>
    <col min="6" max="6" width="15.1640625" style="1" customWidth="1"/>
    <col min="7" max="7" width="13.5" style="1" customWidth="1"/>
    <col min="8" max="8" width="15.1640625" style="1" customWidth="1"/>
    <col min="9" max="9" width="14.83203125" style="1" customWidth="1"/>
    <col min="10" max="10" width="10.5" style="1" bestFit="1" customWidth="1"/>
    <col min="11" max="11" width="13.83203125" style="1" customWidth="1"/>
    <col min="12" max="12" width="2.83203125" style="1" customWidth="1"/>
    <col min="13" max="13" width="8.83203125" style="1"/>
    <col min="14" max="14" width="10.6640625" style="1" bestFit="1" customWidth="1"/>
    <col min="15" max="15" width="10.6640625" style="1" customWidth="1"/>
    <col min="16" max="16" width="2.83203125" style="1" customWidth="1"/>
    <col min="17" max="17" width="10.6640625" style="1" customWidth="1"/>
    <col min="18" max="18" width="11.33203125" style="1" bestFit="1" customWidth="1"/>
    <col min="19" max="19" width="12.83203125" style="1" bestFit="1" customWidth="1"/>
    <col min="20" max="20" width="14" style="1" bestFit="1" customWidth="1"/>
    <col min="21" max="21" width="11.1640625" style="1" bestFit="1" customWidth="1"/>
    <col min="22" max="22" width="8.83203125" style="1" customWidth="1"/>
    <col min="23" max="23" width="15" style="1" customWidth="1"/>
    <col min="24" max="24" width="14.83203125" style="1" bestFit="1" customWidth="1"/>
    <col min="25" max="25" width="3.5" style="1" customWidth="1"/>
    <col min="26" max="26" width="16.5" style="1" customWidth="1"/>
    <col min="27" max="27" width="14.83203125" style="1" bestFit="1" customWidth="1"/>
    <col min="28" max="28" width="4.33203125" style="1" customWidth="1"/>
    <col min="29" max="29" width="10.5" style="1" customWidth="1"/>
    <col min="30" max="30" width="9.83203125" style="1" bestFit="1" customWidth="1"/>
    <col min="31" max="33" width="9.33203125" style="1" bestFit="1" customWidth="1"/>
    <col min="34" max="34" width="11.33203125" style="1" bestFit="1" customWidth="1"/>
    <col min="35" max="16384" width="8.83203125" style="1"/>
  </cols>
  <sheetData>
    <row r="1" spans="1:12" ht="21">
      <c r="A1" s="130" t="s">
        <v>190</v>
      </c>
      <c r="F1" s="332" t="s">
        <v>193</v>
      </c>
      <c r="G1" s="332"/>
      <c r="H1" s="332"/>
      <c r="I1" s="332"/>
      <c r="J1" s="332"/>
      <c r="K1" s="333"/>
    </row>
    <row r="2" spans="1:12" ht="18">
      <c r="B2" s="353"/>
      <c r="C2" s="298"/>
      <c r="D2" s="298"/>
      <c r="F2" s="298"/>
      <c r="G2" s="298"/>
      <c r="H2" s="298"/>
      <c r="I2" s="298"/>
      <c r="J2" s="298"/>
      <c r="K2" s="298"/>
    </row>
    <row r="3" spans="1:12" ht="15">
      <c r="B3" s="332" t="s">
        <v>191</v>
      </c>
      <c r="C3" s="341"/>
      <c r="D3" s="341"/>
      <c r="F3" s="342" t="s">
        <v>58</v>
      </c>
      <c r="G3" s="334" t="s">
        <v>56</v>
      </c>
      <c r="H3" s="334" t="s">
        <v>57</v>
      </c>
      <c r="I3" s="334" t="s">
        <v>60</v>
      </c>
      <c r="J3" s="335" t="s">
        <v>55</v>
      </c>
      <c r="K3" s="298"/>
    </row>
    <row r="4" spans="1:12" ht="18">
      <c r="B4" s="353"/>
      <c r="C4" s="298"/>
      <c r="D4" s="298"/>
      <c r="F4" s="343" t="s">
        <v>203</v>
      </c>
      <c r="G4" s="336">
        <v>8.4900000000000003E-2</v>
      </c>
      <c r="H4" s="337">
        <v>7.5899999999999995E-2</v>
      </c>
      <c r="I4" s="338">
        <f>B9</f>
        <v>87110.400000000009</v>
      </c>
      <c r="J4" s="339">
        <f>SUM(I4*H4)</f>
        <v>6611.6793600000001</v>
      </c>
      <c r="K4" s="298"/>
    </row>
    <row r="5" spans="1:12">
      <c r="B5" s="324" t="s">
        <v>232</v>
      </c>
      <c r="C5" s="324"/>
      <c r="D5" s="324"/>
      <c r="F5" s="343" t="s">
        <v>51</v>
      </c>
      <c r="G5" s="336">
        <v>0.19220000000000001</v>
      </c>
      <c r="H5" s="337">
        <v>0.1832</v>
      </c>
      <c r="I5" s="340">
        <f>B13</f>
        <v>69992</v>
      </c>
      <c r="J5" s="339">
        <f>SUM(I5*H5)</f>
        <v>12822.5344</v>
      </c>
      <c r="K5" s="298"/>
    </row>
    <row r="6" spans="1:12">
      <c r="B6" s="324"/>
      <c r="C6" s="324"/>
      <c r="D6" s="324"/>
      <c r="F6" s="310" t="s">
        <v>204</v>
      </c>
      <c r="G6" s="344">
        <v>8.4900000000000003E-2</v>
      </c>
      <c r="H6" s="345">
        <v>7.5899999999999995E-2</v>
      </c>
      <c r="I6" s="346">
        <f>B21</f>
        <v>58847.87999999999</v>
      </c>
      <c r="J6" s="347">
        <f>SUM(I6*H6)</f>
        <v>4466.5540919999994</v>
      </c>
      <c r="K6" s="298"/>
    </row>
    <row r="7" spans="1:12">
      <c r="B7" s="291">
        <f>SUM((41.88*80)*(18))</f>
        <v>60307.200000000004</v>
      </c>
      <c r="C7" s="288" t="s">
        <v>219</v>
      </c>
      <c r="D7" s="298">
        <v>41.88</v>
      </c>
      <c r="F7" s="298"/>
      <c r="G7" s="298"/>
      <c r="H7" s="298"/>
      <c r="I7" s="298"/>
      <c r="J7" s="298"/>
      <c r="K7" s="298"/>
    </row>
    <row r="8" spans="1:12" ht="15">
      <c r="B8" s="291">
        <f>SUM((41.88*80)*(8))</f>
        <v>26803.200000000001</v>
      </c>
      <c r="C8" s="288" t="s">
        <v>219</v>
      </c>
      <c r="D8" s="298">
        <v>41.88</v>
      </c>
      <c r="F8" s="331">
        <f>SUM(J4:J6)</f>
        <v>23900.767851999997</v>
      </c>
      <c r="G8" s="298"/>
      <c r="H8" s="298" t="s">
        <v>202</v>
      </c>
      <c r="I8" s="298"/>
      <c r="J8" s="298"/>
      <c r="K8" s="298"/>
    </row>
    <row r="9" spans="1:12">
      <c r="B9" s="354">
        <f>SUM(B7:B8)</f>
        <v>87110.400000000009</v>
      </c>
      <c r="C9" s="288"/>
      <c r="D9" s="288"/>
      <c r="E9" s="298"/>
      <c r="F9" s="298"/>
      <c r="G9" s="298"/>
      <c r="H9" s="298"/>
      <c r="I9" s="298"/>
      <c r="J9" s="298"/>
      <c r="K9" s="298"/>
      <c r="L9" s="298"/>
    </row>
    <row r="10" spans="1:12" ht="15">
      <c r="B10" s="355"/>
      <c r="C10" s="288"/>
      <c r="D10" s="288"/>
      <c r="F10" s="332" t="s">
        <v>188</v>
      </c>
      <c r="G10" s="332"/>
      <c r="H10" s="333"/>
      <c r="I10" s="333"/>
      <c r="J10" s="333"/>
      <c r="K10" s="333"/>
      <c r="L10" s="298"/>
    </row>
    <row r="11" spans="1:12">
      <c r="B11" s="356" t="s">
        <v>233</v>
      </c>
      <c r="C11" s="335"/>
      <c r="D11" s="335"/>
      <c r="F11" s="298"/>
      <c r="G11" s="298"/>
      <c r="H11" s="298"/>
      <c r="I11" s="298"/>
      <c r="J11" s="298"/>
      <c r="K11" s="298"/>
      <c r="L11" s="298"/>
    </row>
    <row r="12" spans="1:12">
      <c r="B12" s="356"/>
      <c r="C12" s="335"/>
      <c r="D12" s="335"/>
      <c r="F12" s="324" t="s">
        <v>228</v>
      </c>
      <c r="G12" s="324"/>
      <c r="H12" s="324"/>
      <c r="I12" s="324"/>
      <c r="J12" s="324"/>
      <c r="K12" s="298"/>
      <c r="L12" s="298"/>
    </row>
    <row r="13" spans="1:12">
      <c r="B13" s="339">
        <f>SUM((67.3*80)*(13))</f>
        <v>69992</v>
      </c>
      <c r="C13" s="298" t="s">
        <v>49</v>
      </c>
      <c r="D13" s="358">
        <v>67.3</v>
      </c>
      <c r="F13" s="366">
        <v>15615</v>
      </c>
      <c r="G13" s="298"/>
      <c r="H13" s="298"/>
      <c r="I13" s="298"/>
      <c r="J13" s="298"/>
      <c r="K13" s="298"/>
      <c r="L13" s="298"/>
    </row>
    <row r="14" spans="1:12" ht="17">
      <c r="B14" s="357">
        <f>SUM((69.71*80)*(13))</f>
        <v>72498.399999999994</v>
      </c>
      <c r="C14" s="298" t="s">
        <v>49</v>
      </c>
      <c r="D14" s="358">
        <v>69.709999999999994</v>
      </c>
      <c r="F14" s="298"/>
      <c r="G14" s="298"/>
      <c r="H14" s="298"/>
      <c r="I14" s="298"/>
      <c r="J14" s="298"/>
      <c r="K14" s="298"/>
      <c r="L14" s="298"/>
    </row>
    <row r="15" spans="1:12" ht="15">
      <c r="B15" s="350">
        <f>SUM(B13:B14)</f>
        <v>142490.4</v>
      </c>
      <c r="C15" s="298"/>
      <c r="D15" s="298"/>
      <c r="F15" s="367">
        <f>SUM(F13)</f>
        <v>15615</v>
      </c>
      <c r="G15" s="298"/>
      <c r="H15" s="298" t="s">
        <v>195</v>
      </c>
      <c r="I15" s="298"/>
      <c r="J15" s="298"/>
      <c r="K15" s="298"/>
      <c r="L15" s="298"/>
    </row>
    <row r="16" spans="1:12">
      <c r="B16" s="298"/>
      <c r="C16" s="298"/>
      <c r="D16" s="298"/>
      <c r="F16" s="298"/>
      <c r="G16" s="298"/>
      <c r="H16" s="298"/>
      <c r="I16" s="298"/>
      <c r="J16" s="298"/>
      <c r="K16" s="298"/>
      <c r="L16" s="298"/>
    </row>
    <row r="17" spans="1:17">
      <c r="B17" s="324" t="s">
        <v>231</v>
      </c>
      <c r="C17" s="324"/>
      <c r="D17" s="324"/>
      <c r="F17" s="298"/>
      <c r="G17" s="298"/>
      <c r="H17" s="298"/>
      <c r="I17" s="298"/>
      <c r="J17" s="298"/>
      <c r="K17" s="298"/>
      <c r="L17" s="298"/>
    </row>
    <row r="18" spans="1:17" ht="15">
      <c r="B18" s="324"/>
      <c r="C18" s="324"/>
      <c r="D18" s="324"/>
      <c r="F18" s="294" t="s">
        <v>192</v>
      </c>
      <c r="G18" s="294"/>
      <c r="H18" s="293"/>
      <c r="I18" s="293"/>
      <c r="J18" s="293"/>
      <c r="K18" s="293"/>
    </row>
    <row r="19" spans="1:17">
      <c r="B19" s="339">
        <f>SUM((D19*70)*(13))</f>
        <v>29423.939999999995</v>
      </c>
      <c r="C19" s="298" t="s">
        <v>220</v>
      </c>
      <c r="D19" s="352">
        <f>SUM(31.7)+(31.7*2%)</f>
        <v>32.333999999999996</v>
      </c>
    </row>
    <row r="20" spans="1:17">
      <c r="B20" s="339">
        <f>SUM((D20*70)*(13))</f>
        <v>29423.939999999995</v>
      </c>
      <c r="C20" s="298" t="s">
        <v>220</v>
      </c>
      <c r="D20" s="352">
        <f>SUM(31.7)+(31.7*2%)</f>
        <v>32.333999999999996</v>
      </c>
      <c r="F20" s="292" t="s">
        <v>54</v>
      </c>
      <c r="G20" s="292" t="s">
        <v>229</v>
      </c>
      <c r="H20" s="290"/>
      <c r="I20" s="290"/>
      <c r="J20" s="290"/>
    </row>
    <row r="21" spans="1:17">
      <c r="B21" s="350">
        <f>SUM(B19:B20)</f>
        <v>58847.87999999999</v>
      </c>
      <c r="C21" s="298"/>
      <c r="D21" s="298"/>
      <c r="F21" s="13">
        <v>1.4500000000000001E-2</v>
      </c>
      <c r="G21" s="295">
        <f>SUM(B9+B13+B21)</f>
        <v>215950.28000000003</v>
      </c>
    </row>
    <row r="22" spans="1:17">
      <c r="A22" s="298"/>
      <c r="B22" s="350"/>
      <c r="C22" s="298"/>
      <c r="D22" s="298"/>
    </row>
    <row r="23" spans="1:17" ht="16" thickBot="1">
      <c r="B23" s="298"/>
      <c r="C23" s="298"/>
      <c r="D23" s="298"/>
      <c r="F23" s="299">
        <f>SUM(G21*F21)</f>
        <v>3131.2790600000008</v>
      </c>
    </row>
    <row r="24" spans="1:17" ht="15" thickTop="1">
      <c r="B24" s="298"/>
      <c r="C24" s="298"/>
      <c r="D24" s="298"/>
    </row>
    <row r="25" spans="1:17">
      <c r="A25" s="298"/>
      <c r="B25" s="298"/>
      <c r="C25" s="298"/>
      <c r="D25" s="298"/>
    </row>
    <row r="26" spans="1:17" ht="15">
      <c r="A26" s="298"/>
      <c r="B26" s="298"/>
      <c r="C26" s="298"/>
      <c r="D26" s="298"/>
      <c r="F26" s="294" t="s">
        <v>1</v>
      </c>
      <c r="G26" s="294"/>
      <c r="H26" s="293"/>
      <c r="I26" s="293"/>
      <c r="J26" s="293"/>
      <c r="K26" s="293"/>
    </row>
    <row r="27" spans="1:17">
      <c r="A27" s="298"/>
      <c r="B27" s="348" t="s">
        <v>205</v>
      </c>
      <c r="C27" s="324"/>
      <c r="D27" s="324"/>
    </row>
    <row r="28" spans="1:17">
      <c r="A28" s="298"/>
      <c r="B28" s="349">
        <v>40000</v>
      </c>
      <c r="C28" s="298"/>
      <c r="D28" s="298"/>
      <c r="F28" s="292" t="s">
        <v>61</v>
      </c>
      <c r="G28" s="292" t="s">
        <v>62</v>
      </c>
      <c r="H28" s="290"/>
      <c r="I28" s="290"/>
      <c r="J28" s="290"/>
      <c r="Q28" s="296"/>
    </row>
    <row r="29" spans="1:17">
      <c r="A29" s="298"/>
      <c r="B29" s="350"/>
      <c r="C29" s="298"/>
      <c r="D29" s="298"/>
      <c r="F29" s="295">
        <v>1770</v>
      </c>
      <c r="G29" s="4">
        <f>1965</f>
        <v>1965</v>
      </c>
      <c r="K29" s="297"/>
      <c r="M29" s="297"/>
      <c r="N29" s="297"/>
      <c r="O29" s="297"/>
      <c r="Q29" s="297"/>
    </row>
    <row r="30" spans="1:17" ht="15">
      <c r="A30" s="298"/>
      <c r="B30" s="351">
        <f>SUM(B9+B15+B21+B28)</f>
        <v>328448.68</v>
      </c>
      <c r="C30" s="298"/>
      <c r="D30" s="298"/>
      <c r="F30" s="12"/>
      <c r="K30" s="297"/>
      <c r="M30" s="297"/>
      <c r="N30" s="297"/>
      <c r="O30" s="297"/>
      <c r="Q30" s="297"/>
    </row>
    <row r="31" spans="1:17" ht="16" thickBot="1">
      <c r="A31" s="298"/>
      <c r="B31" s="298"/>
      <c r="C31" s="298"/>
      <c r="D31" s="298"/>
      <c r="F31" s="323">
        <v>1965</v>
      </c>
      <c r="G31" s="297"/>
      <c r="H31" s="1" t="s">
        <v>196</v>
      </c>
      <c r="K31" s="297"/>
      <c r="M31" s="297"/>
      <c r="N31" s="297"/>
      <c r="O31" s="297"/>
      <c r="P31" s="297"/>
      <c r="Q31" s="297"/>
    </row>
    <row r="32" spans="1:17" ht="15" thickTop="1">
      <c r="A32" s="298"/>
      <c r="B32" s="298"/>
      <c r="C32" s="298"/>
      <c r="D32" s="298"/>
      <c r="K32" s="296"/>
      <c r="M32" s="297"/>
      <c r="N32" s="297"/>
      <c r="O32" s="297"/>
      <c r="P32" s="297"/>
      <c r="Q32" s="297"/>
    </row>
    <row r="33" spans="1:21" ht="15">
      <c r="A33" s="298"/>
      <c r="B33" s="298"/>
      <c r="C33" s="298"/>
      <c r="D33" s="298"/>
      <c r="F33" s="294" t="s">
        <v>17</v>
      </c>
      <c r="G33" s="294"/>
      <c r="H33" s="293"/>
      <c r="I33" s="293"/>
      <c r="J33" s="293"/>
      <c r="K33" s="293"/>
      <c r="M33" s="297"/>
      <c r="N33" s="297"/>
      <c r="O33" s="297"/>
      <c r="P33" s="297"/>
      <c r="Q33" s="297"/>
    </row>
    <row r="34" spans="1:21">
      <c r="A34" s="298"/>
      <c r="B34" s="289"/>
      <c r="C34" s="298"/>
      <c r="D34" s="298"/>
    </row>
    <row r="35" spans="1:21">
      <c r="B35" s="313"/>
      <c r="F35" s="292" t="s">
        <v>61</v>
      </c>
      <c r="G35" s="292" t="s">
        <v>62</v>
      </c>
      <c r="H35" s="290"/>
      <c r="I35" s="290"/>
      <c r="J35" s="290"/>
    </row>
    <row r="36" spans="1:21">
      <c r="C36" s="4"/>
      <c r="F36" s="295">
        <v>3605</v>
      </c>
      <c r="G36" s="131">
        <f>SUM((F36)+(F36*3%))</f>
        <v>3713.15</v>
      </c>
      <c r="S36" s="296"/>
      <c r="T36" s="296"/>
      <c r="U36" s="296"/>
    </row>
    <row r="37" spans="1:21">
      <c r="C37" s="4"/>
      <c r="F37" s="297"/>
      <c r="G37" s="297"/>
      <c r="S37" s="296"/>
      <c r="T37" s="296"/>
      <c r="U37" s="296"/>
    </row>
    <row r="38" spans="1:21">
      <c r="C38" s="4"/>
      <c r="F38" s="297"/>
      <c r="S38" s="296"/>
      <c r="T38" s="296"/>
      <c r="U38" s="296"/>
    </row>
    <row r="39" spans="1:21" ht="16" thickBot="1">
      <c r="F39" s="168">
        <f>SUM(G36)</f>
        <v>3713.15</v>
      </c>
      <c r="H39" s="1" t="s">
        <v>197</v>
      </c>
      <c r="S39" s="296"/>
      <c r="T39" s="296"/>
      <c r="U39" s="296"/>
    </row>
    <row r="40" spans="1:21" ht="15" thickTop="1">
      <c r="S40" s="296"/>
      <c r="T40" s="296"/>
      <c r="U40" s="296"/>
    </row>
    <row r="41" spans="1:21" ht="15">
      <c r="E41" s="23"/>
      <c r="F41" s="294" t="s">
        <v>194</v>
      </c>
      <c r="G41" s="293"/>
      <c r="H41" s="293"/>
      <c r="I41" s="293"/>
      <c r="J41" s="293"/>
      <c r="K41" s="293"/>
      <c r="S41" s="296"/>
      <c r="T41" s="296"/>
      <c r="U41" s="296"/>
    </row>
    <row r="42" spans="1:21">
      <c r="E42" s="23"/>
      <c r="F42" s="298"/>
      <c r="G42" s="298"/>
      <c r="H42" s="298"/>
      <c r="I42" s="298"/>
      <c r="J42" s="298"/>
      <c r="K42" s="298"/>
      <c r="L42" s="298"/>
      <c r="M42" s="298"/>
      <c r="N42" s="298"/>
    </row>
    <row r="43" spans="1:21">
      <c r="F43" s="359" t="s">
        <v>58</v>
      </c>
      <c r="G43" s="326" t="s">
        <v>63</v>
      </c>
      <c r="H43" s="326" t="s">
        <v>64</v>
      </c>
      <c r="I43" s="326" t="s">
        <v>65</v>
      </c>
      <c r="J43" s="326" t="s">
        <v>66</v>
      </c>
      <c r="K43" s="326" t="s">
        <v>67</v>
      </c>
      <c r="L43" s="298"/>
      <c r="M43" s="298"/>
      <c r="N43" s="298"/>
    </row>
    <row r="44" spans="1:21">
      <c r="F44" s="298" t="s">
        <v>50</v>
      </c>
      <c r="G44" s="311">
        <v>8488.2199999999993</v>
      </c>
      <c r="H44" s="288">
        <v>627.38</v>
      </c>
      <c r="I44" s="288">
        <v>35.880000000000003</v>
      </c>
      <c r="J44" s="288">
        <v>66.3</v>
      </c>
      <c r="K44" s="311">
        <v>0</v>
      </c>
      <c r="L44" s="298"/>
      <c r="M44" s="298"/>
      <c r="N44" s="298"/>
    </row>
    <row r="45" spans="1:21">
      <c r="C45" s="22"/>
      <c r="D45" s="23"/>
      <c r="F45" s="298" t="s">
        <v>68</v>
      </c>
      <c r="G45" s="311">
        <v>12039.82</v>
      </c>
      <c r="H45" s="288">
        <v>1858.74</v>
      </c>
      <c r="I45" s="288">
        <v>258.7</v>
      </c>
      <c r="J45" s="288">
        <v>211.9</v>
      </c>
      <c r="K45" s="311">
        <v>0</v>
      </c>
      <c r="L45" s="298"/>
      <c r="M45" s="298"/>
      <c r="N45" s="298"/>
    </row>
    <row r="46" spans="1:21">
      <c r="B46" s="10"/>
      <c r="F46" s="360" t="s">
        <v>52</v>
      </c>
      <c r="G46" s="361">
        <v>8488.2199999999993</v>
      </c>
      <c r="H46" s="362">
        <v>627.38</v>
      </c>
      <c r="I46" s="362">
        <v>35.880000000000003</v>
      </c>
      <c r="J46" s="362">
        <v>66.3</v>
      </c>
      <c r="K46" s="361">
        <v>0</v>
      </c>
      <c r="L46" s="298"/>
      <c r="M46" s="298"/>
      <c r="N46" s="298"/>
    </row>
    <row r="47" spans="1:21">
      <c r="B47" s="10"/>
      <c r="F47" s="298"/>
      <c r="G47" s="311"/>
      <c r="H47" s="288"/>
      <c r="I47" s="288"/>
      <c r="J47" s="288"/>
      <c r="K47" s="311"/>
      <c r="L47" s="298"/>
      <c r="M47" s="298"/>
      <c r="N47" s="298"/>
    </row>
    <row r="48" spans="1:21">
      <c r="F48" s="298"/>
      <c r="G48" s="327">
        <f>SUM(G44:G47)</f>
        <v>29016.260000000002</v>
      </c>
      <c r="H48" s="327">
        <f>SUM(H44:H47)</f>
        <v>3113.5</v>
      </c>
      <c r="I48" s="327">
        <f>SUM(I44:I47)</f>
        <v>330.46</v>
      </c>
      <c r="J48" s="327">
        <f>SUM(J44:J47)</f>
        <v>344.5</v>
      </c>
      <c r="K48" s="328">
        <f>SUM(K44:K46)</f>
        <v>0</v>
      </c>
      <c r="L48" s="298"/>
      <c r="M48" s="298"/>
      <c r="N48" s="298"/>
    </row>
    <row r="49" spans="2:14">
      <c r="F49" s="298"/>
      <c r="G49" s="298"/>
      <c r="H49" s="298"/>
      <c r="I49" s="298"/>
      <c r="J49" s="298"/>
      <c r="K49" s="329"/>
      <c r="L49" s="298"/>
      <c r="M49" s="298"/>
      <c r="N49" s="298"/>
    </row>
    <row r="50" spans="2:14" ht="15">
      <c r="B50" s="300" t="s">
        <v>157</v>
      </c>
      <c r="F50" s="298"/>
      <c r="G50" s="298"/>
      <c r="H50" s="298"/>
      <c r="I50" s="298"/>
      <c r="J50" s="330"/>
      <c r="K50" s="328">
        <f>SUM(G48:K48)</f>
        <v>32804.720000000001</v>
      </c>
      <c r="L50" s="298"/>
      <c r="M50" s="298"/>
      <c r="N50" s="298"/>
    </row>
    <row r="51" spans="2:14" ht="15">
      <c r="B51" s="301">
        <f>SUM(B30+F15+F8+F31+F39+F51+F23)</f>
        <v>409086.52611199999</v>
      </c>
      <c r="F51" s="331">
        <f>SUM((K50)-(K50*1.5%))</f>
        <v>32312.6492</v>
      </c>
      <c r="G51" s="298"/>
      <c r="H51" s="298"/>
      <c r="I51" s="298"/>
      <c r="J51" s="298"/>
      <c r="K51" s="298"/>
      <c r="L51" s="298"/>
      <c r="M51" s="298"/>
      <c r="N51" s="298"/>
    </row>
    <row r="52" spans="2:14">
      <c r="F52" s="298"/>
      <c r="G52" s="298"/>
      <c r="H52" s="298"/>
      <c r="I52" s="298"/>
      <c r="J52" s="298"/>
      <c r="K52" s="330"/>
      <c r="L52" s="298"/>
      <c r="M52" s="298"/>
      <c r="N52" s="298"/>
    </row>
    <row r="53" spans="2:14">
      <c r="F53" s="298"/>
      <c r="G53" s="298"/>
      <c r="H53" s="298"/>
      <c r="I53" s="298"/>
      <c r="J53" s="298"/>
      <c r="K53" s="298"/>
      <c r="L53" s="298"/>
      <c r="M53" s="298"/>
      <c r="N53" s="298"/>
    </row>
    <row r="54" spans="2:14">
      <c r="F54" s="298"/>
      <c r="G54" s="298"/>
      <c r="H54" s="298"/>
      <c r="I54" s="298"/>
      <c r="J54" s="298"/>
      <c r="K54" s="298"/>
      <c r="L54" s="298"/>
      <c r="M54" s="298"/>
      <c r="N54" s="298"/>
    </row>
    <row r="55" spans="2:14">
      <c r="F55" s="298"/>
      <c r="G55" s="298"/>
      <c r="H55" s="298"/>
      <c r="I55" s="298"/>
      <c r="J55" s="298"/>
      <c r="K55" s="298"/>
      <c r="L55" s="298"/>
      <c r="M55" s="298"/>
      <c r="N55" s="298"/>
    </row>
  </sheetData>
  <phoneticPr fontId="33" type="noConversion"/>
  <pageMargins left="0.7" right="0.7" top="0.75" bottom="0.75" header="0.3" footer="0.3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1"/>
  <sheetViews>
    <sheetView workbookViewId="0">
      <selection activeCell="B21" sqref="B21"/>
    </sheetView>
  </sheetViews>
  <sheetFormatPr baseColWidth="10" defaultColWidth="8.83203125" defaultRowHeight="14"/>
  <cols>
    <col min="1" max="1" width="21.6640625" style="1" customWidth="1"/>
    <col min="2" max="2" width="16.6640625" style="1" customWidth="1"/>
    <col min="3" max="3" width="14.1640625" style="1" customWidth="1"/>
    <col min="4" max="4" width="11.33203125" style="1" bestFit="1" customWidth="1"/>
    <col min="5" max="5" width="15" style="1" customWidth="1"/>
    <col min="6" max="6" width="5.1640625" style="1" customWidth="1"/>
    <col min="7" max="7" width="3.5" style="296" customWidth="1"/>
    <col min="8" max="8" width="17.33203125" style="1" customWidth="1"/>
    <col min="9" max="9" width="13" style="1" customWidth="1"/>
    <col min="10" max="10" width="13.1640625" style="1" customWidth="1"/>
    <col min="11" max="11" width="8.6640625" style="1" bestFit="1" customWidth="1"/>
    <col min="12" max="12" width="8.83203125" style="1"/>
    <col min="13" max="13" width="10.6640625" style="1" bestFit="1" customWidth="1"/>
    <col min="14" max="14" width="10.1640625" style="1" bestFit="1" customWidth="1"/>
    <col min="15" max="15" width="2.5" style="1" customWidth="1"/>
    <col min="16" max="16" width="17.5" style="1" customWidth="1"/>
    <col min="17" max="17" width="10.33203125" style="1" bestFit="1" customWidth="1"/>
    <col min="18" max="18" width="8.83203125" style="1"/>
    <col min="19" max="19" width="10" style="1" bestFit="1" customWidth="1"/>
    <col min="20" max="20" width="4.5" style="1" customWidth="1"/>
    <col min="21" max="21" width="14" style="1" customWidth="1"/>
    <col min="22" max="22" width="11.1640625" style="1" bestFit="1" customWidth="1"/>
    <col min="23" max="23" width="9.5" style="1" bestFit="1" customWidth="1"/>
    <col min="24" max="24" width="10" style="1" bestFit="1" customWidth="1"/>
    <col min="25" max="25" width="4.33203125" style="1" customWidth="1"/>
    <col min="26" max="26" width="18.5" style="1" bestFit="1" customWidth="1"/>
    <col min="27" max="27" width="1.6640625" style="1" customWidth="1"/>
    <col min="28" max="29" width="8.83203125" style="1"/>
    <col min="30" max="30" width="10.6640625" style="1" bestFit="1" customWidth="1"/>
    <col min="31" max="31" width="16.6640625" style="1" customWidth="1"/>
    <col min="32" max="16384" width="8.83203125" style="1"/>
  </cols>
  <sheetData>
    <row r="1" spans="1:14" ht="21">
      <c r="A1" s="130" t="s">
        <v>198</v>
      </c>
    </row>
    <row r="3" spans="1:14">
      <c r="A3" s="302"/>
      <c r="B3" s="302"/>
      <c r="C3" s="302"/>
      <c r="D3" s="303"/>
      <c r="E3" s="303"/>
      <c r="F3" s="303"/>
      <c r="H3" s="302"/>
      <c r="I3" s="302"/>
      <c r="J3" s="302"/>
      <c r="K3" s="302"/>
      <c r="L3" s="303"/>
      <c r="M3" s="303"/>
      <c r="N3" s="303"/>
    </row>
    <row r="4" spans="1:14" ht="15">
      <c r="A4" s="305" t="s">
        <v>18</v>
      </c>
      <c r="B4" s="302"/>
      <c r="C4" s="302"/>
      <c r="D4" s="303"/>
      <c r="E4" s="303"/>
      <c r="F4" s="303"/>
      <c r="H4" s="305" t="s">
        <v>70</v>
      </c>
      <c r="I4" s="302"/>
      <c r="J4" s="302"/>
      <c r="K4" s="302"/>
      <c r="L4" s="303"/>
      <c r="M4" s="303"/>
      <c r="N4" s="303"/>
    </row>
    <row r="6" spans="1:14">
      <c r="A6" s="8" t="s">
        <v>92</v>
      </c>
      <c r="B6" s="19" t="s">
        <v>97</v>
      </c>
      <c r="C6" s="19" t="s">
        <v>55</v>
      </c>
      <c r="H6" s="8" t="s">
        <v>58</v>
      </c>
      <c r="I6" s="9" t="s">
        <v>78</v>
      </c>
      <c r="J6" s="9" t="s">
        <v>54</v>
      </c>
      <c r="K6" s="9" t="s">
        <v>55</v>
      </c>
    </row>
    <row r="7" spans="1:14">
      <c r="A7" s="1" t="s">
        <v>98</v>
      </c>
      <c r="B7" s="14" t="s">
        <v>99</v>
      </c>
      <c r="C7" s="14">
        <v>1600</v>
      </c>
      <c r="H7" s="1" t="s">
        <v>51</v>
      </c>
      <c r="I7" s="6">
        <v>750</v>
      </c>
      <c r="J7" s="6">
        <v>0.55000000000000004</v>
      </c>
      <c r="K7" s="14">
        <f>SUM(I7*J7)</f>
        <v>412.50000000000006</v>
      </c>
    </row>
    <row r="8" spans="1:14">
      <c r="A8" s="1" t="s">
        <v>100</v>
      </c>
      <c r="B8" s="14" t="s">
        <v>101</v>
      </c>
      <c r="C8" s="14">
        <v>650</v>
      </c>
      <c r="H8" s="1" t="s">
        <v>50</v>
      </c>
      <c r="I8" s="6">
        <v>300</v>
      </c>
      <c r="J8" s="6">
        <v>0.55000000000000004</v>
      </c>
      <c r="K8" s="14">
        <f>SUM(I8*J8)</f>
        <v>165</v>
      </c>
    </row>
    <row r="9" spans="1:14">
      <c r="A9" s="1" t="s">
        <v>102</v>
      </c>
      <c r="B9" s="14" t="s">
        <v>103</v>
      </c>
      <c r="C9" s="14">
        <v>7670</v>
      </c>
      <c r="H9" s="1" t="s">
        <v>59</v>
      </c>
      <c r="I9" s="6">
        <v>20</v>
      </c>
      <c r="J9" s="6">
        <v>0.55000000000000004</v>
      </c>
      <c r="K9" s="16">
        <f>SUM(I9*J9)</f>
        <v>11</v>
      </c>
    </row>
    <row r="10" spans="1:14">
      <c r="A10" s="1" t="s">
        <v>104</v>
      </c>
      <c r="B10" s="14" t="s">
        <v>105</v>
      </c>
      <c r="C10" s="14">
        <f>SUM(160*7)</f>
        <v>1120</v>
      </c>
      <c r="K10" s="3">
        <f>SUM(K7:K9)</f>
        <v>588.5</v>
      </c>
    </row>
    <row r="11" spans="1:14">
      <c r="A11" s="1" t="s">
        <v>138</v>
      </c>
      <c r="B11" s="14" t="s">
        <v>208</v>
      </c>
      <c r="C11" s="14">
        <v>5000</v>
      </c>
    </row>
    <row r="12" spans="1:14">
      <c r="A12" s="1" t="s">
        <v>211</v>
      </c>
      <c r="C12" s="5">
        <v>7500</v>
      </c>
      <c r="H12" s="8" t="s">
        <v>221</v>
      </c>
      <c r="I12" s="8"/>
      <c r="J12" s="8"/>
      <c r="K12" s="8"/>
    </row>
    <row r="13" spans="1:14">
      <c r="A13" s="1" t="s">
        <v>137</v>
      </c>
      <c r="B13" s="14" t="s">
        <v>222</v>
      </c>
      <c r="C13" s="16">
        <v>7140</v>
      </c>
      <c r="I13" s="6" t="s">
        <v>80</v>
      </c>
      <c r="J13" s="6" t="s">
        <v>81</v>
      </c>
      <c r="K13" s="6" t="s">
        <v>82</v>
      </c>
    </row>
    <row r="14" spans="1:14" ht="16" thickBot="1">
      <c r="C14" s="169">
        <f>SUM(C7:C13)</f>
        <v>30680</v>
      </c>
      <c r="H14" s="1" t="s">
        <v>51</v>
      </c>
      <c r="I14" s="5">
        <v>0</v>
      </c>
      <c r="J14" s="5">
        <v>900</v>
      </c>
      <c r="K14" s="5">
        <v>250</v>
      </c>
    </row>
    <row r="15" spans="1:14" ht="15" thickTop="1">
      <c r="H15" s="1" t="s">
        <v>50</v>
      </c>
      <c r="I15" s="5">
        <v>0</v>
      </c>
      <c r="J15" s="5">
        <v>0</v>
      </c>
      <c r="K15" s="5">
        <v>0</v>
      </c>
    </row>
    <row r="16" spans="1:14">
      <c r="A16" s="302"/>
      <c r="B16" s="302"/>
      <c r="C16" s="302"/>
      <c r="D16" s="302"/>
      <c r="E16" s="303"/>
      <c r="F16" s="303"/>
      <c r="H16" s="1" t="s">
        <v>79</v>
      </c>
      <c r="I16" s="5">
        <v>0</v>
      </c>
      <c r="J16" s="5">
        <v>900</v>
      </c>
      <c r="K16" s="5">
        <v>250</v>
      </c>
    </row>
    <row r="17" spans="1:11" ht="15">
      <c r="A17" s="305" t="s">
        <v>3</v>
      </c>
      <c r="B17" s="302"/>
      <c r="C17" s="302"/>
      <c r="D17" s="302"/>
      <c r="E17" s="303"/>
      <c r="F17" s="303"/>
      <c r="H17" s="1" t="s">
        <v>79</v>
      </c>
      <c r="I17" s="2">
        <v>0</v>
      </c>
      <c r="J17" s="2">
        <v>900</v>
      </c>
      <c r="K17" s="2">
        <v>250</v>
      </c>
    </row>
    <row r="18" spans="1:11">
      <c r="I18" s="5">
        <f>SUM(I14:I17)</f>
        <v>0</v>
      </c>
      <c r="J18" s="5">
        <f>SUM(J14:J17)</f>
        <v>2700</v>
      </c>
      <c r="K18" s="5">
        <f>SUM(K14:K17)</f>
        <v>750</v>
      </c>
    </row>
    <row r="19" spans="1:11">
      <c r="A19" s="8" t="s">
        <v>92</v>
      </c>
      <c r="B19" s="9" t="s">
        <v>94</v>
      </c>
      <c r="C19" s="9" t="s">
        <v>54</v>
      </c>
      <c r="D19" s="9" t="s">
        <v>55</v>
      </c>
    </row>
    <row r="20" spans="1:11">
      <c r="A20" s="1" t="s">
        <v>224</v>
      </c>
      <c r="B20" s="6">
        <v>30</v>
      </c>
      <c r="C20" s="14">
        <v>250</v>
      </c>
      <c r="D20" s="7">
        <f>SUM(B20*C20)</f>
        <v>7500</v>
      </c>
      <c r="K20" s="3">
        <f>SUM(I18:K18)</f>
        <v>3450</v>
      </c>
    </row>
    <row r="21" spans="1:11">
      <c r="A21" s="1" t="s">
        <v>96</v>
      </c>
      <c r="B21" s="6">
        <f>SUM(10*12)</f>
        <v>120</v>
      </c>
      <c r="C21" s="14">
        <v>275</v>
      </c>
      <c r="D21" s="18">
        <f>SUM(B21*C21)</f>
        <v>33000</v>
      </c>
    </row>
    <row r="22" spans="1:11">
      <c r="B22" s="6"/>
      <c r="C22" s="6"/>
      <c r="D22" s="6"/>
      <c r="H22" s="8" t="s">
        <v>223</v>
      </c>
      <c r="I22" s="8"/>
      <c r="J22" s="8"/>
      <c r="K22" s="8"/>
    </row>
    <row r="23" spans="1:11" ht="16" thickBot="1">
      <c r="B23" s="6"/>
      <c r="C23" s="6"/>
      <c r="D23" s="167">
        <f>SUM(D20:D21)</f>
        <v>40500</v>
      </c>
      <c r="I23" s="6" t="s">
        <v>80</v>
      </c>
      <c r="J23" s="6" t="s">
        <v>81</v>
      </c>
      <c r="K23" s="6" t="s">
        <v>82</v>
      </c>
    </row>
    <row r="24" spans="1:11" ht="15" thickTop="1">
      <c r="H24" s="1" t="s">
        <v>51</v>
      </c>
      <c r="I24" s="14">
        <v>0</v>
      </c>
      <c r="J24" s="14">
        <v>900</v>
      </c>
      <c r="K24" s="14">
        <v>250</v>
      </c>
    </row>
    <row r="25" spans="1:11">
      <c r="H25" s="1" t="s">
        <v>50</v>
      </c>
      <c r="I25" s="14">
        <v>0</v>
      </c>
      <c r="J25" s="14">
        <v>900</v>
      </c>
      <c r="K25" s="14">
        <v>250</v>
      </c>
    </row>
    <row r="26" spans="1:11">
      <c r="A26" s="302"/>
      <c r="B26" s="302"/>
      <c r="C26" s="302"/>
      <c r="D26" s="302"/>
      <c r="E26" s="303"/>
      <c r="F26" s="303"/>
      <c r="H26" s="1" t="s">
        <v>52</v>
      </c>
      <c r="I26" s="16">
        <v>0</v>
      </c>
      <c r="J26" s="16">
        <v>900</v>
      </c>
      <c r="K26" s="16">
        <v>250</v>
      </c>
    </row>
    <row r="27" spans="1:11" ht="15">
      <c r="A27" s="305" t="s">
        <v>69</v>
      </c>
      <c r="B27" s="302"/>
      <c r="C27" s="302"/>
      <c r="D27" s="302"/>
      <c r="E27" s="303"/>
      <c r="F27" s="303"/>
      <c r="I27" s="7">
        <f>SUM(I24:I26)</f>
        <v>0</v>
      </c>
      <c r="J27" s="7">
        <f>SUM(J24:J26)</f>
        <v>2700</v>
      </c>
      <c r="K27" s="7">
        <f>SUM(K24:K26)</f>
        <v>750</v>
      </c>
    </row>
    <row r="29" spans="1:11">
      <c r="A29" s="9" t="s">
        <v>92</v>
      </c>
      <c r="B29" s="9" t="s">
        <v>94</v>
      </c>
      <c r="C29" s="9" t="s">
        <v>54</v>
      </c>
      <c r="D29" s="9" t="s">
        <v>55</v>
      </c>
      <c r="H29" s="8" t="s">
        <v>83</v>
      </c>
      <c r="K29" s="5">
        <v>500</v>
      </c>
    </row>
    <row r="30" spans="1:11">
      <c r="A30" s="6" t="s">
        <v>93</v>
      </c>
      <c r="B30" s="6">
        <v>36</v>
      </c>
      <c r="C30" s="14">
        <v>130</v>
      </c>
      <c r="D30" s="7">
        <f>SUM(B30*C30)</f>
        <v>4680</v>
      </c>
    </row>
    <row r="31" spans="1:11">
      <c r="A31" s="288" t="s">
        <v>95</v>
      </c>
      <c r="B31" s="288" t="s">
        <v>36</v>
      </c>
      <c r="C31" s="311" t="s">
        <v>36</v>
      </c>
      <c r="D31" s="20">
        <v>1758</v>
      </c>
      <c r="E31" s="298"/>
      <c r="K31" s="3"/>
    </row>
    <row r="33" spans="1:14" ht="16" thickBot="1">
      <c r="K33" s="169">
        <f>SUM(K10+K20+K29+J27)</f>
        <v>7238.5</v>
      </c>
    </row>
    <row r="34" spans="1:14" ht="17" thickTop="1" thickBot="1">
      <c r="D34" s="169">
        <f>SUM(D30:D33)</f>
        <v>6438</v>
      </c>
    </row>
    <row r="35" spans="1:14" ht="15" thickTop="1"/>
    <row r="36" spans="1:14">
      <c r="H36" s="302"/>
      <c r="I36" s="302"/>
      <c r="J36" s="302"/>
      <c r="K36" s="302"/>
      <c r="L36" s="303"/>
      <c r="M36" s="303"/>
      <c r="N36" s="303"/>
    </row>
    <row r="37" spans="1:14" ht="15">
      <c r="A37" s="302"/>
      <c r="B37" s="302"/>
      <c r="C37" s="302"/>
      <c r="D37" s="302"/>
      <c r="E37" s="303"/>
      <c r="F37" s="303"/>
      <c r="H37" s="305" t="s">
        <v>71</v>
      </c>
      <c r="I37" s="302"/>
      <c r="J37" s="302"/>
      <c r="K37" s="302"/>
      <c r="L37" s="303"/>
      <c r="M37" s="303"/>
      <c r="N37" s="303"/>
    </row>
    <row r="38" spans="1:14" ht="15">
      <c r="A38" s="305" t="s">
        <v>19</v>
      </c>
      <c r="B38" s="302"/>
      <c r="C38" s="302"/>
      <c r="D38" s="302"/>
      <c r="E38" s="303"/>
      <c r="F38" s="303"/>
    </row>
    <row r="39" spans="1:14">
      <c r="H39" s="8" t="s">
        <v>75</v>
      </c>
      <c r="I39" s="8"/>
      <c r="J39" s="9" t="s">
        <v>54</v>
      </c>
      <c r="K39" s="9" t="s">
        <v>76</v>
      </c>
      <c r="L39" s="9" t="s">
        <v>77</v>
      </c>
      <c r="M39" s="9" t="s">
        <v>55</v>
      </c>
    </row>
    <row r="40" spans="1:14">
      <c r="A40" s="8" t="s">
        <v>89</v>
      </c>
      <c r="B40" s="9" t="s">
        <v>90</v>
      </c>
      <c r="C40" s="9" t="s">
        <v>91</v>
      </c>
      <c r="D40" s="9" t="s">
        <v>55</v>
      </c>
      <c r="H40" s="1" t="s">
        <v>72</v>
      </c>
      <c r="J40" s="14">
        <v>125</v>
      </c>
      <c r="K40" s="14">
        <v>6</v>
      </c>
      <c r="L40" s="14">
        <v>10</v>
      </c>
      <c r="M40" s="14">
        <f>SUM((J40*K40)*(L40))</f>
        <v>7500</v>
      </c>
    </row>
    <row r="41" spans="1:14">
      <c r="A41" s="1" t="s">
        <v>84</v>
      </c>
      <c r="B41" s="6">
        <v>3</v>
      </c>
      <c r="C41" s="14">
        <v>490</v>
      </c>
      <c r="D41" s="14">
        <f>B41*C41</f>
        <v>1470</v>
      </c>
      <c r="H41" s="1" t="s">
        <v>73</v>
      </c>
      <c r="J41" s="14">
        <v>125</v>
      </c>
      <c r="K41" s="14">
        <v>3</v>
      </c>
      <c r="L41" s="14">
        <v>10</v>
      </c>
      <c r="M41" s="14">
        <f>SUM((J41*K41)*(L41))</f>
        <v>3750</v>
      </c>
    </row>
    <row r="42" spans="1:14">
      <c r="A42" s="1" t="s">
        <v>85</v>
      </c>
      <c r="B42" s="6">
        <v>3</v>
      </c>
      <c r="C42" s="14">
        <v>315</v>
      </c>
      <c r="D42" s="14">
        <f>B42*C42</f>
        <v>945</v>
      </c>
      <c r="H42" s="1" t="s">
        <v>74</v>
      </c>
      <c r="J42" s="14">
        <v>125</v>
      </c>
      <c r="K42" s="14">
        <v>6</v>
      </c>
      <c r="L42" s="14">
        <v>3</v>
      </c>
      <c r="M42" s="16">
        <f>SUM((J42*K42)*(L42))</f>
        <v>2250</v>
      </c>
    </row>
    <row r="43" spans="1:14">
      <c r="A43" s="1" t="s">
        <v>87</v>
      </c>
      <c r="B43" s="6">
        <v>2</v>
      </c>
      <c r="C43" s="14">
        <v>50</v>
      </c>
      <c r="D43" s="14">
        <f>B43*C43</f>
        <v>100</v>
      </c>
    </row>
    <row r="44" spans="1:14" ht="16" thickBot="1">
      <c r="A44" s="1" t="s">
        <v>88</v>
      </c>
      <c r="B44" s="6">
        <v>1</v>
      </c>
      <c r="C44" s="14">
        <v>450</v>
      </c>
      <c r="D44" s="16">
        <f>B44*C44</f>
        <v>450</v>
      </c>
      <c r="M44" s="169">
        <f>SUM(M40:M42)</f>
        <v>13500</v>
      </c>
    </row>
    <row r="45" spans="1:14" ht="15" thickTop="1"/>
    <row r="46" spans="1:14" ht="16" thickBot="1">
      <c r="D46" s="169">
        <f>SUM(D41:D44)</f>
        <v>2965</v>
      </c>
      <c r="I46" s="3"/>
    </row>
    <row r="47" spans="1:14" ht="15" thickTop="1"/>
    <row r="50" spans="1:1" ht="15">
      <c r="A50" s="300" t="s">
        <v>157</v>
      </c>
    </row>
    <row r="51" spans="1:1" ht="15">
      <c r="A51" s="304">
        <f>SUM(C14+D23+D34+D46+K33+M44)</f>
        <v>101321.5</v>
      </c>
    </row>
  </sheetData>
  <phoneticPr fontId="33" type="noConversion"/>
  <pageMargins left="0.7" right="0.7" top="0.75" bottom="0.75" header="0.3" footer="0.3"/>
  <pageSetup scale="67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9"/>
  <sheetViews>
    <sheetView tabSelected="1" topLeftCell="A2" zoomScale="90" zoomScaleNormal="90" workbookViewId="0">
      <selection activeCell="J15" sqref="J15"/>
    </sheetView>
  </sheetViews>
  <sheetFormatPr baseColWidth="10" defaultColWidth="8.83203125" defaultRowHeight="13"/>
  <cols>
    <col min="1" max="1" width="18.1640625" customWidth="1"/>
    <col min="2" max="2" width="12.1640625" bestFit="1" customWidth="1"/>
    <col min="3" max="3" width="11.6640625" bestFit="1" customWidth="1"/>
    <col min="4" max="4" width="12.5" customWidth="1"/>
    <col min="5" max="5" width="13.83203125" customWidth="1"/>
    <col min="6" max="6" width="12.1640625" bestFit="1" customWidth="1"/>
    <col min="7" max="7" width="2.1640625" customWidth="1"/>
    <col min="8" max="8" width="1.83203125" customWidth="1"/>
    <col min="9" max="9" width="26.33203125" bestFit="1" customWidth="1"/>
    <col min="10" max="10" width="12.5" bestFit="1" customWidth="1"/>
    <col min="11" max="11" width="15.5" customWidth="1"/>
    <col min="12" max="12" width="14.1640625" customWidth="1"/>
    <col min="13" max="13" width="11.83203125" customWidth="1"/>
    <col min="14" max="14" width="14.1640625" customWidth="1"/>
    <col min="15" max="15" width="11.6640625" bestFit="1" customWidth="1"/>
    <col min="16" max="16" width="2.6640625" customWidth="1"/>
    <col min="17" max="17" width="13.5" customWidth="1"/>
    <col min="18" max="18" width="11.6640625" bestFit="1" customWidth="1"/>
    <col min="19" max="19" width="2.5" customWidth="1"/>
    <col min="20" max="20" width="26.33203125" bestFit="1" customWidth="1"/>
    <col min="21" max="21" width="12.83203125" bestFit="1" customWidth="1"/>
    <col min="22" max="22" width="2.1640625" customWidth="1"/>
    <col min="23" max="23" width="14" customWidth="1"/>
    <col min="24" max="24" width="14.1640625" customWidth="1"/>
    <col min="25" max="25" width="1.5" customWidth="1"/>
    <col min="26" max="26" width="14.33203125" bestFit="1" customWidth="1"/>
    <col min="27" max="27" width="16.5" customWidth="1"/>
    <col min="28" max="28" width="3" customWidth="1"/>
    <col min="29" max="29" width="20.6640625" customWidth="1"/>
    <col min="30" max="30" width="18.1640625" customWidth="1"/>
  </cols>
  <sheetData>
    <row r="1" spans="1:13" ht="21">
      <c r="A1" s="130" t="s">
        <v>199</v>
      </c>
      <c r="I1" s="306"/>
      <c r="J1" s="306"/>
      <c r="K1" s="306"/>
      <c r="L1" s="306"/>
      <c r="M1" s="306"/>
    </row>
    <row r="2" spans="1:13" ht="14">
      <c r="I2" s="17" t="s">
        <v>122</v>
      </c>
      <c r="J2" s="17"/>
      <c r="K2" s="306"/>
      <c r="L2" s="306"/>
      <c r="M2" s="306"/>
    </row>
    <row r="3" spans="1:13" ht="14">
      <c r="A3" s="17"/>
      <c r="B3" s="17"/>
      <c r="C3" s="17"/>
      <c r="D3" s="306"/>
      <c r="E3" s="306"/>
      <c r="F3" s="306"/>
      <c r="I3" s="1"/>
      <c r="J3" s="1"/>
    </row>
    <row r="4" spans="1:13" ht="14">
      <c r="A4" s="17" t="s">
        <v>106</v>
      </c>
      <c r="B4" s="17"/>
      <c r="C4" s="17"/>
      <c r="D4" s="306"/>
      <c r="E4" s="306"/>
      <c r="F4" s="306"/>
      <c r="I4" s="11" t="s">
        <v>109</v>
      </c>
      <c r="J4" s="9" t="s">
        <v>55</v>
      </c>
    </row>
    <row r="5" spans="1:13" ht="14">
      <c r="A5" s="1"/>
      <c r="B5" s="1"/>
      <c r="C5" s="1"/>
      <c r="I5" s="13" t="s">
        <v>225</v>
      </c>
      <c r="J5" s="7">
        <v>1000</v>
      </c>
    </row>
    <row r="6" spans="1:13" ht="19" thickBot="1">
      <c r="A6" s="8" t="s">
        <v>109</v>
      </c>
      <c r="B6" s="19" t="s">
        <v>110</v>
      </c>
      <c r="C6" s="19" t="s">
        <v>55</v>
      </c>
      <c r="I6" s="1" t="s">
        <v>134</v>
      </c>
      <c r="J6" s="2">
        <v>500</v>
      </c>
      <c r="L6" s="171">
        <f>SUM(J5:J7)</f>
        <v>1500</v>
      </c>
    </row>
    <row r="7" spans="1:13" ht="15" thickTop="1">
      <c r="A7" s="1" t="s">
        <v>107</v>
      </c>
      <c r="B7" s="14" t="s">
        <v>112</v>
      </c>
      <c r="C7" s="14">
        <f>SUM((2565.25*1)+(2638.82*11))</f>
        <v>31592.27</v>
      </c>
      <c r="I7" s="13"/>
      <c r="J7" s="1"/>
    </row>
    <row r="8" spans="1:13" ht="19" thickBot="1">
      <c r="A8" s="1" t="s">
        <v>108</v>
      </c>
      <c r="B8" s="14" t="s">
        <v>111</v>
      </c>
      <c r="C8" s="16">
        <f>SUM((170*3)*(6))</f>
        <v>3060</v>
      </c>
      <c r="E8" s="170">
        <f>SUM(C7:C9)</f>
        <v>34652.270000000004</v>
      </c>
      <c r="I8" s="306"/>
      <c r="J8" s="306"/>
      <c r="K8" s="306"/>
      <c r="L8" s="306"/>
      <c r="M8" s="306"/>
    </row>
    <row r="9" spans="1:13" ht="15" thickTop="1">
      <c r="A9" s="1"/>
      <c r="B9" s="1"/>
      <c r="C9" s="1"/>
      <c r="I9" s="17" t="s">
        <v>123</v>
      </c>
      <c r="J9" s="17"/>
      <c r="K9" s="306"/>
      <c r="L9" s="306"/>
      <c r="M9" s="306"/>
    </row>
    <row r="10" spans="1:13" ht="14">
      <c r="A10" s="1"/>
      <c r="B10" s="1"/>
      <c r="H10" s="1"/>
      <c r="I10" s="1"/>
      <c r="J10" s="1"/>
    </row>
    <row r="11" spans="1:13" ht="14">
      <c r="H11" s="1"/>
      <c r="I11" s="11" t="s">
        <v>109</v>
      </c>
      <c r="J11" s="9" t="s">
        <v>55</v>
      </c>
    </row>
    <row r="12" spans="1:13" ht="14">
      <c r="A12" s="17"/>
      <c r="B12" s="17"/>
      <c r="C12" s="306"/>
      <c r="D12" s="306"/>
      <c r="E12" s="306"/>
      <c r="F12" s="306"/>
      <c r="I12" s="13" t="s">
        <v>139</v>
      </c>
      <c r="J12" s="7">
        <v>2500</v>
      </c>
    </row>
    <row r="13" spans="1:13" ht="14">
      <c r="A13" s="1"/>
      <c r="B13" s="1"/>
      <c r="I13" s="13" t="s">
        <v>133</v>
      </c>
      <c r="J13" s="7">
        <v>120</v>
      </c>
    </row>
    <row r="14" spans="1:13" ht="14">
      <c r="A14" s="11" t="s">
        <v>109</v>
      </c>
      <c r="B14" s="9" t="s">
        <v>55</v>
      </c>
      <c r="I14" s="365" t="s">
        <v>230</v>
      </c>
      <c r="J14" s="20">
        <v>800</v>
      </c>
    </row>
    <row r="15" spans="1:13" ht="19" thickBot="1">
      <c r="A15" s="13" t="s">
        <v>113</v>
      </c>
      <c r="B15" s="7">
        <v>10000</v>
      </c>
      <c r="I15" s="13" t="s">
        <v>140</v>
      </c>
      <c r="J15" s="18">
        <v>1200</v>
      </c>
      <c r="L15" s="171">
        <f>SUM(J12:J16)</f>
        <v>4620</v>
      </c>
    </row>
    <row r="16" spans="1:13" ht="15" thickTop="1">
      <c r="A16" s="13" t="s">
        <v>114</v>
      </c>
      <c r="B16" s="7">
        <v>2805</v>
      </c>
    </row>
    <row r="17" spans="1:13" ht="14">
      <c r="A17" s="13" t="s">
        <v>115</v>
      </c>
      <c r="B17" s="7">
        <v>1299</v>
      </c>
      <c r="I17" s="306"/>
      <c r="J17" s="306"/>
      <c r="K17" s="306"/>
      <c r="L17" s="306"/>
      <c r="M17" s="306"/>
    </row>
    <row r="18" spans="1:13" ht="14">
      <c r="A18" s="13" t="s">
        <v>116</v>
      </c>
      <c r="B18" s="7">
        <v>150</v>
      </c>
      <c r="I18" s="17" t="s">
        <v>124</v>
      </c>
      <c r="J18" s="17"/>
      <c r="K18" s="306"/>
      <c r="L18" s="306"/>
      <c r="M18" s="306"/>
    </row>
    <row r="19" spans="1:13" ht="19" thickBot="1">
      <c r="A19" s="13" t="s">
        <v>86</v>
      </c>
      <c r="B19" s="18">
        <v>480</v>
      </c>
      <c r="E19" s="171">
        <f>SUM(B15:B20)</f>
        <v>14734</v>
      </c>
      <c r="I19" s="1"/>
      <c r="J19" s="1"/>
    </row>
    <row r="20" spans="1:13" ht="15" thickTop="1">
      <c r="I20" s="11" t="s">
        <v>109</v>
      </c>
      <c r="J20" s="9" t="s">
        <v>55</v>
      </c>
    </row>
    <row r="21" spans="1:13" ht="14">
      <c r="I21" s="13" t="s">
        <v>125</v>
      </c>
      <c r="J21" s="7">
        <v>2800</v>
      </c>
    </row>
    <row r="22" spans="1:13" ht="19" thickBot="1">
      <c r="I22" s="13" t="s">
        <v>141</v>
      </c>
      <c r="J22" s="18">
        <f>SUM(125*12)</f>
        <v>1500</v>
      </c>
      <c r="L22" s="171">
        <f>SUM(J21:J23)</f>
        <v>4300</v>
      </c>
    </row>
    <row r="23" spans="1:13" ht="15" thickTop="1">
      <c r="A23" s="17"/>
      <c r="B23" s="17"/>
      <c r="C23" s="306"/>
      <c r="D23" s="306"/>
      <c r="E23" s="306"/>
      <c r="F23" s="306"/>
    </row>
    <row r="24" spans="1:13" ht="14">
      <c r="A24" s="17" t="s">
        <v>23</v>
      </c>
      <c r="B24" s="17"/>
      <c r="C24" s="306"/>
      <c r="D24" s="306"/>
      <c r="E24" s="306"/>
      <c r="F24" s="306"/>
      <c r="I24" s="306"/>
      <c r="J24" s="306"/>
      <c r="K24" s="306"/>
      <c r="L24" s="306"/>
      <c r="M24" s="306"/>
    </row>
    <row r="25" spans="1:13" ht="14">
      <c r="A25" s="1"/>
      <c r="B25" s="1"/>
      <c r="I25" s="17" t="s">
        <v>126</v>
      </c>
      <c r="J25" s="17"/>
      <c r="K25" s="306"/>
      <c r="L25" s="306"/>
      <c r="M25" s="306"/>
    </row>
    <row r="26" spans="1:13" ht="14">
      <c r="A26" s="11" t="s">
        <v>97</v>
      </c>
      <c r="B26" s="9" t="s">
        <v>55</v>
      </c>
      <c r="I26" s="1"/>
      <c r="J26" s="1"/>
    </row>
    <row r="27" spans="1:13" ht="19" thickBot="1">
      <c r="A27" s="12" t="s">
        <v>115</v>
      </c>
      <c r="B27" s="18">
        <v>3993</v>
      </c>
      <c r="E27" s="170">
        <v>3993.39</v>
      </c>
      <c r="I27" s="11" t="s">
        <v>109</v>
      </c>
      <c r="J27" s="9" t="s">
        <v>55</v>
      </c>
    </row>
    <row r="28" spans="1:13" ht="15" thickTop="1">
      <c r="A28" s="12"/>
      <c r="B28" s="20"/>
      <c r="I28" s="13" t="s">
        <v>127</v>
      </c>
      <c r="J28" s="7">
        <v>1776</v>
      </c>
    </row>
    <row r="29" spans="1:13" ht="14">
      <c r="A29" s="1"/>
      <c r="I29" s="13" t="s">
        <v>116</v>
      </c>
      <c r="J29" s="7">
        <f>SUM(450*6)</f>
        <v>2700</v>
      </c>
      <c r="K29" s="1" t="s">
        <v>206</v>
      </c>
    </row>
    <row r="30" spans="1:13" ht="14">
      <c r="I30" s="13" t="s">
        <v>128</v>
      </c>
      <c r="J30" s="7">
        <v>2700</v>
      </c>
    </row>
    <row r="31" spans="1:13" ht="14">
      <c r="A31" s="17"/>
      <c r="B31" s="17"/>
      <c r="C31" s="306"/>
      <c r="D31" s="306"/>
      <c r="E31" s="306"/>
      <c r="F31" s="306"/>
      <c r="I31" s="13" t="s">
        <v>129</v>
      </c>
      <c r="J31" s="7">
        <f>300</f>
        <v>300</v>
      </c>
    </row>
    <row r="32" spans="1:13" ht="14">
      <c r="A32" s="17" t="s">
        <v>117</v>
      </c>
      <c r="B32" s="17"/>
      <c r="C32" s="306"/>
      <c r="D32" s="306"/>
      <c r="E32" s="306"/>
      <c r="F32" s="306"/>
      <c r="I32" s="13" t="s">
        <v>130</v>
      </c>
      <c r="J32" s="7">
        <f>12*11</f>
        <v>132</v>
      </c>
    </row>
    <row r="33" spans="1:13" ht="19" thickBot="1">
      <c r="A33" s="1"/>
      <c r="B33" s="1"/>
      <c r="I33" s="13" t="s">
        <v>131</v>
      </c>
      <c r="J33" s="18">
        <v>1000</v>
      </c>
      <c r="L33" s="171">
        <f>SUM(J28:J35)</f>
        <v>8608</v>
      </c>
    </row>
    <row r="34" spans="1:13" ht="15" thickTop="1">
      <c r="A34" s="11" t="s">
        <v>97</v>
      </c>
      <c r="B34" s="9" t="s">
        <v>55</v>
      </c>
    </row>
    <row r="35" spans="1:13" ht="14">
      <c r="A35" s="1" t="s">
        <v>132</v>
      </c>
      <c r="B35" s="5">
        <f>33*12</f>
        <v>396</v>
      </c>
    </row>
    <row r="36" spans="1:13" ht="19" thickBot="1">
      <c r="A36" s="12" t="s">
        <v>118</v>
      </c>
      <c r="B36" s="18">
        <v>11217</v>
      </c>
      <c r="E36" s="170">
        <f>SUM(B35:B37)</f>
        <v>11613</v>
      </c>
      <c r="I36" s="306"/>
      <c r="J36" s="306"/>
      <c r="K36" s="306"/>
      <c r="L36" s="306"/>
      <c r="M36" s="306"/>
    </row>
    <row r="37" spans="1:13" ht="15" thickTop="1">
      <c r="A37" s="1"/>
      <c r="I37" s="17" t="s">
        <v>187</v>
      </c>
      <c r="J37" s="17"/>
      <c r="K37" s="17"/>
      <c r="L37" s="17"/>
      <c r="M37" s="17"/>
    </row>
    <row r="38" spans="1:13" ht="14">
      <c r="I38" s="1"/>
      <c r="J38" s="1"/>
    </row>
    <row r="39" spans="1:13" ht="14">
      <c r="I39" s="11" t="s">
        <v>109</v>
      </c>
      <c r="J39" s="9" t="s">
        <v>55</v>
      </c>
    </row>
    <row r="40" spans="1:13" ht="14">
      <c r="A40" s="17"/>
      <c r="B40" s="17"/>
      <c r="C40" s="306"/>
      <c r="D40" s="306"/>
      <c r="E40" s="306"/>
      <c r="F40" s="306"/>
      <c r="I40" s="13" t="s">
        <v>135</v>
      </c>
      <c r="J40" s="7">
        <f>SUM(25*12)</f>
        <v>300</v>
      </c>
    </row>
    <row r="41" spans="1:13" ht="14">
      <c r="A41" s="17" t="s">
        <v>119</v>
      </c>
      <c r="B41" s="17"/>
      <c r="C41" s="306"/>
      <c r="D41" s="306"/>
      <c r="E41" s="306"/>
      <c r="F41" s="306"/>
      <c r="I41" s="1" t="s">
        <v>136</v>
      </c>
      <c r="J41" s="5">
        <f>SUM(80*6)</f>
        <v>480</v>
      </c>
    </row>
    <row r="42" spans="1:13" ht="14">
      <c r="A42" s="1"/>
      <c r="B42" s="1"/>
      <c r="I42" s="1" t="s">
        <v>143</v>
      </c>
      <c r="J42" s="5">
        <f>SUM(45*7)</f>
        <v>315</v>
      </c>
    </row>
    <row r="43" spans="1:13" ht="14">
      <c r="A43" s="11" t="s">
        <v>97</v>
      </c>
      <c r="B43" s="9" t="s">
        <v>55</v>
      </c>
      <c r="I43" s="1" t="s">
        <v>142</v>
      </c>
      <c r="J43" s="5">
        <v>450</v>
      </c>
    </row>
    <row r="44" spans="1:13" ht="19" thickBot="1">
      <c r="A44" s="12" t="s">
        <v>121</v>
      </c>
      <c r="B44" s="20">
        <f>SUM(200*5)</f>
        <v>1000</v>
      </c>
      <c r="I44" s="1" t="s">
        <v>207</v>
      </c>
      <c r="J44" s="2">
        <v>500</v>
      </c>
      <c r="L44" s="171">
        <f>SUM(J40:J52)</f>
        <v>2045</v>
      </c>
    </row>
    <row r="45" spans="1:13" ht="22" thickTop="1" thickBot="1">
      <c r="A45" s="12" t="s">
        <v>120</v>
      </c>
      <c r="B45" s="21">
        <v>4000</v>
      </c>
      <c r="E45" s="170">
        <f>SUM(B44:B45)</f>
        <v>5000</v>
      </c>
    </row>
    <row r="46" spans="1:13" ht="15" thickTop="1">
      <c r="A46" s="1"/>
    </row>
    <row r="47" spans="1:13" ht="14">
      <c r="I47" s="1"/>
    </row>
    <row r="48" spans="1:13" ht="16">
      <c r="A48" s="307" t="s">
        <v>173</v>
      </c>
    </row>
    <row r="49" spans="1:1" ht="16">
      <c r="A49" s="308">
        <f>SUM(E8+E19+E27+E36+E45+L44+L33+L22+L15+L6)</f>
        <v>91065.66</v>
      </c>
    </row>
  </sheetData>
  <phoneticPr fontId="33" type="noConversion"/>
  <pageMargins left="0.25" right="0.25" top="0.75" bottom="0.75" header="0.3" footer="0.3"/>
  <pageSetup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7"/>
  <sheetViews>
    <sheetView workbookViewId="0">
      <selection activeCell="I16" sqref="I16"/>
    </sheetView>
  </sheetViews>
  <sheetFormatPr baseColWidth="10" defaultColWidth="8.83203125" defaultRowHeight="14"/>
  <cols>
    <col min="1" max="1" width="6.5" style="1" customWidth="1"/>
    <col min="2" max="2" width="16.33203125" style="1" customWidth="1"/>
    <col min="3" max="3" width="1.1640625" style="1" customWidth="1"/>
    <col min="4" max="4" width="12.5" style="6" customWidth="1"/>
    <col min="5" max="5" width="1.1640625" style="6" customWidth="1"/>
    <col min="6" max="7" width="11.5" style="6" bestFit="1" customWidth="1"/>
    <col min="8" max="8" width="10.5" style="1" bestFit="1" customWidth="1"/>
    <col min="9" max="9" width="9.5" style="6" bestFit="1" customWidth="1"/>
    <col min="10" max="10" width="2" style="6" customWidth="1"/>
    <col min="11" max="11" width="8.83203125" style="6"/>
    <col min="12" max="12" width="2" style="6" customWidth="1"/>
    <col min="13" max="13" width="8.83203125" style="6"/>
    <col min="14" max="14" width="1" style="6" customWidth="1"/>
    <col min="15" max="15" width="8.83203125" style="6"/>
    <col min="16" max="16" width="1.5" style="6" customWidth="1"/>
    <col min="17" max="17" width="8.83203125" style="6"/>
    <col min="18" max="16384" width="8.83203125" style="1"/>
  </cols>
  <sheetData>
    <row r="1" spans="1:17" ht="21">
      <c r="A1" s="130" t="s">
        <v>200</v>
      </c>
    </row>
    <row r="2" spans="1:17">
      <c r="I2" s="1"/>
      <c r="J2" s="1"/>
      <c r="K2" s="1"/>
      <c r="L2" s="1"/>
      <c r="M2" s="1"/>
      <c r="N2" s="1"/>
      <c r="O2" s="1"/>
      <c r="P2" s="1"/>
      <c r="Q2" s="1"/>
    </row>
    <row r="3" spans="1:17">
      <c r="B3" s="164"/>
      <c r="D3" s="138"/>
      <c r="E3" s="139"/>
      <c r="F3" s="140"/>
      <c r="G3" s="140"/>
      <c r="H3" s="140"/>
      <c r="I3" s="132" t="s">
        <v>175</v>
      </c>
      <c r="J3" s="133"/>
      <c r="K3" s="133" t="s">
        <v>201</v>
      </c>
      <c r="L3" s="133"/>
      <c r="M3" s="133" t="s">
        <v>169</v>
      </c>
      <c r="N3" s="133"/>
      <c r="O3" s="133" t="s">
        <v>171</v>
      </c>
      <c r="P3" s="133"/>
      <c r="Q3" s="134" t="s">
        <v>173</v>
      </c>
    </row>
    <row r="4" spans="1:17" ht="15">
      <c r="B4" s="165" t="s">
        <v>183</v>
      </c>
      <c r="C4" s="15"/>
      <c r="D4" s="141" t="s">
        <v>166</v>
      </c>
      <c r="E4" s="142"/>
      <c r="F4" s="143" t="s">
        <v>167</v>
      </c>
      <c r="G4" s="143" t="s">
        <v>226</v>
      </c>
      <c r="H4" s="143" t="s">
        <v>234</v>
      </c>
      <c r="I4" s="135" t="s">
        <v>168</v>
      </c>
      <c r="J4" s="136"/>
      <c r="K4" s="136" t="s">
        <v>178</v>
      </c>
      <c r="L4" s="136"/>
      <c r="M4" s="136" t="s">
        <v>170</v>
      </c>
      <c r="N4" s="136"/>
      <c r="O4" s="136" t="s">
        <v>172</v>
      </c>
      <c r="P4" s="136"/>
      <c r="Q4" s="137" t="s">
        <v>174</v>
      </c>
    </row>
    <row r="5" spans="1:17">
      <c r="B5" s="162" t="s">
        <v>158</v>
      </c>
      <c r="D5" s="144">
        <v>636337</v>
      </c>
      <c r="E5" s="145"/>
      <c r="F5" s="146">
        <v>665037</v>
      </c>
      <c r="G5" s="146">
        <v>768345</v>
      </c>
      <c r="H5" s="363">
        <f>SUM(G5-F5)/F5</f>
        <v>0.15534173286599093</v>
      </c>
      <c r="I5" s="150">
        <v>2.5</v>
      </c>
      <c r="J5" s="151"/>
      <c r="K5" s="151" t="s">
        <v>176</v>
      </c>
      <c r="L5" s="151"/>
      <c r="M5" s="151">
        <v>14</v>
      </c>
      <c r="N5" s="151"/>
      <c r="O5" s="151">
        <f>SUM(15+20)</f>
        <v>35</v>
      </c>
      <c r="P5" s="151"/>
      <c r="Q5" s="152">
        <f>SUM(M5:O5)</f>
        <v>49</v>
      </c>
    </row>
    <row r="6" spans="1:17" ht="15" thickBot="1">
      <c r="B6" s="162" t="s">
        <v>159</v>
      </c>
      <c r="D6" s="144">
        <v>813750</v>
      </c>
      <c r="E6" s="145"/>
      <c r="F6" s="146">
        <v>893733</v>
      </c>
      <c r="G6" s="146">
        <v>945210</v>
      </c>
      <c r="H6" s="371">
        <f t="shared" ref="H6:H13" si="0">SUM(G6-F6)/F6</f>
        <v>5.7597738922027047E-2</v>
      </c>
      <c r="I6" s="372">
        <v>2</v>
      </c>
      <c r="J6" s="151"/>
      <c r="K6" s="151" t="s">
        <v>176</v>
      </c>
      <c r="L6" s="151"/>
      <c r="M6" s="151">
        <v>19</v>
      </c>
      <c r="N6" s="151"/>
      <c r="O6" s="151">
        <f>SUM(19+29)</f>
        <v>48</v>
      </c>
      <c r="P6" s="151"/>
      <c r="Q6" s="152">
        <f t="shared" ref="Q6:Q13" si="1">SUM(M6:O6)</f>
        <v>67</v>
      </c>
    </row>
    <row r="7" spans="1:17" ht="15" thickBot="1">
      <c r="B7" s="166" t="s">
        <v>179</v>
      </c>
      <c r="C7" s="156"/>
      <c r="D7" s="157">
        <f>'2018-2019'!G55</f>
        <v>470254.42</v>
      </c>
      <c r="E7" s="158"/>
      <c r="F7" s="159">
        <v>526862.28</v>
      </c>
      <c r="G7" s="369">
        <v>556781</v>
      </c>
      <c r="H7" s="373">
        <f t="shared" si="0"/>
        <v>5.6786604651219236E-2</v>
      </c>
      <c r="I7" s="370">
        <v>2.8</v>
      </c>
      <c r="J7" s="160"/>
      <c r="K7" s="160" t="s">
        <v>177</v>
      </c>
      <c r="L7" s="160"/>
      <c r="M7" s="160">
        <v>11</v>
      </c>
      <c r="N7" s="160"/>
      <c r="O7" s="160">
        <v>54</v>
      </c>
      <c r="P7" s="160"/>
      <c r="Q7" s="161">
        <f t="shared" si="1"/>
        <v>65</v>
      </c>
    </row>
    <row r="8" spans="1:17">
      <c r="B8" s="162" t="s">
        <v>164</v>
      </c>
      <c r="D8" s="144">
        <v>525684</v>
      </c>
      <c r="E8" s="145"/>
      <c r="F8" s="146">
        <v>534328</v>
      </c>
      <c r="G8" s="146">
        <v>525524</v>
      </c>
      <c r="H8" s="363">
        <f t="shared" si="0"/>
        <v>-1.6476770822416192E-2</v>
      </c>
      <c r="I8" s="150">
        <v>2</v>
      </c>
      <c r="J8" s="151"/>
      <c r="K8" s="151" t="s">
        <v>176</v>
      </c>
      <c r="L8" s="151"/>
      <c r="M8" s="151">
        <v>5</v>
      </c>
      <c r="N8" s="151"/>
      <c r="O8" s="151">
        <f>SUM(8+10)</f>
        <v>18</v>
      </c>
      <c r="P8" s="151"/>
      <c r="Q8" s="152">
        <f t="shared" si="1"/>
        <v>23</v>
      </c>
    </row>
    <row r="9" spans="1:17">
      <c r="B9" s="162" t="s">
        <v>165</v>
      </c>
      <c r="D9" s="144">
        <v>297342</v>
      </c>
      <c r="E9" s="145"/>
      <c r="F9" s="146">
        <v>297342</v>
      </c>
      <c r="G9" s="325" t="s">
        <v>227</v>
      </c>
      <c r="H9" s="364" t="s">
        <v>235</v>
      </c>
      <c r="I9" s="150">
        <v>1</v>
      </c>
      <c r="J9" s="151"/>
      <c r="K9" s="151" t="s">
        <v>177</v>
      </c>
      <c r="L9" s="151"/>
      <c r="M9" s="151">
        <v>1</v>
      </c>
      <c r="N9" s="151"/>
      <c r="O9" s="151">
        <f>SUM(0)</f>
        <v>0</v>
      </c>
      <c r="P9" s="151"/>
      <c r="Q9" s="152">
        <f t="shared" si="1"/>
        <v>1</v>
      </c>
    </row>
    <row r="10" spans="1:17">
      <c r="B10" s="162" t="s">
        <v>160</v>
      </c>
      <c r="D10" s="144">
        <v>476248</v>
      </c>
      <c r="E10" s="145"/>
      <c r="F10" s="146">
        <v>450230</v>
      </c>
      <c r="G10" s="146">
        <v>492571</v>
      </c>
      <c r="H10" s="363">
        <f t="shared" si="0"/>
        <v>9.4043044666059575E-2</v>
      </c>
      <c r="I10" s="150">
        <v>1.8</v>
      </c>
      <c r="J10" s="151"/>
      <c r="K10" s="151" t="s">
        <v>177</v>
      </c>
      <c r="L10" s="151"/>
      <c r="M10" s="151">
        <v>9</v>
      </c>
      <c r="N10" s="151"/>
      <c r="O10" s="151">
        <f>SUM(23+33)</f>
        <v>56</v>
      </c>
      <c r="P10" s="151"/>
      <c r="Q10" s="152">
        <f t="shared" si="1"/>
        <v>65</v>
      </c>
    </row>
    <row r="11" spans="1:17">
      <c r="B11" s="162" t="s">
        <v>161</v>
      </c>
      <c r="D11" s="144">
        <v>819843</v>
      </c>
      <c r="E11" s="145"/>
      <c r="F11" s="146">
        <v>881227</v>
      </c>
      <c r="G11" s="146">
        <v>1084733</v>
      </c>
      <c r="H11" s="363">
        <f t="shared" si="0"/>
        <v>0.23093482156130032</v>
      </c>
      <c r="I11" s="150">
        <v>3</v>
      </c>
      <c r="J11" s="151"/>
      <c r="K11" s="151" t="s">
        <v>177</v>
      </c>
      <c r="L11" s="151"/>
      <c r="M11" s="151">
        <v>15</v>
      </c>
      <c r="N11" s="151"/>
      <c r="O11" s="151">
        <f>SUM(29)</f>
        <v>29</v>
      </c>
      <c r="P11" s="151"/>
      <c r="Q11" s="152">
        <f t="shared" si="1"/>
        <v>44</v>
      </c>
    </row>
    <row r="12" spans="1:17">
      <c r="B12" s="162" t="s">
        <v>162</v>
      </c>
      <c r="D12" s="144">
        <v>394235</v>
      </c>
      <c r="E12" s="145"/>
      <c r="F12" s="146">
        <v>419514</v>
      </c>
      <c r="G12" s="146">
        <v>459319</v>
      </c>
      <c r="H12" s="363">
        <f t="shared" si="0"/>
        <v>9.4883603407752787E-2</v>
      </c>
      <c r="I12" s="150">
        <v>1</v>
      </c>
      <c r="J12" s="151"/>
      <c r="K12" s="151" t="s">
        <v>176</v>
      </c>
      <c r="L12" s="151"/>
      <c r="M12" s="151">
        <v>7</v>
      </c>
      <c r="N12" s="151"/>
      <c r="O12" s="151">
        <f>17+27</f>
        <v>44</v>
      </c>
      <c r="P12" s="151"/>
      <c r="Q12" s="152">
        <f t="shared" si="1"/>
        <v>51</v>
      </c>
    </row>
    <row r="13" spans="1:17">
      <c r="B13" s="163" t="s">
        <v>163</v>
      </c>
      <c r="C13" s="15"/>
      <c r="D13" s="147">
        <v>596975</v>
      </c>
      <c r="E13" s="148"/>
      <c r="F13" s="149">
        <v>626055</v>
      </c>
      <c r="G13" s="149">
        <v>625830</v>
      </c>
      <c r="H13" s="375">
        <f t="shared" si="0"/>
        <v>-3.5939334403526849E-4</v>
      </c>
      <c r="I13" s="153">
        <v>3</v>
      </c>
      <c r="J13" s="154"/>
      <c r="K13" s="154" t="s">
        <v>177</v>
      </c>
      <c r="L13" s="154"/>
      <c r="M13" s="154">
        <v>9</v>
      </c>
      <c r="N13" s="154"/>
      <c r="O13" s="154">
        <f>46+8</f>
        <v>54</v>
      </c>
      <c r="P13" s="154"/>
      <c r="Q13" s="155">
        <f t="shared" si="1"/>
        <v>63</v>
      </c>
    </row>
    <row r="16" spans="1:17">
      <c r="B16" s="1" t="s">
        <v>214</v>
      </c>
      <c r="D16" s="131">
        <f>SUM((D5+D6+D8+D10+D11+D12+D13)/7)</f>
        <v>609010.28571428568</v>
      </c>
      <c r="E16" s="131"/>
      <c r="F16" s="131">
        <f>SUM((F5+F6+F8+F10+F11+F12+F13)/7)</f>
        <v>638589.14285714284</v>
      </c>
      <c r="G16" s="131">
        <f>SUM((G5+G6+G8+G10+G11+G12+G13)/7)</f>
        <v>700218.85714285716</v>
      </c>
      <c r="H16" s="374">
        <f>SUM(G16-F16)/F16</f>
        <v>9.6509179611124943E-2</v>
      </c>
    </row>
    <row r="17" spans="4:8">
      <c r="D17" s="6" t="s">
        <v>213</v>
      </c>
      <c r="F17" s="6" t="s">
        <v>213</v>
      </c>
      <c r="G17" s="6" t="s">
        <v>213</v>
      </c>
      <c r="H17" s="6" t="s">
        <v>213</v>
      </c>
    </row>
  </sheetData>
  <phoneticPr fontId="33" type="noConversion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2018-2019</vt:lpstr>
      <vt:lpstr>Payroll </vt:lpstr>
      <vt:lpstr>Administrative</vt:lpstr>
      <vt:lpstr>Services</vt:lpstr>
      <vt:lpstr>Other LAFCOs</vt:lpstr>
      <vt:lpstr>'2018-2019'!Print_Area</vt:lpstr>
    </vt:vector>
  </TitlesOfParts>
  <Company>Napa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dschwar3</dc:creator>
  <cp:lastModifiedBy>Microsoft Office User</cp:lastModifiedBy>
  <cp:lastPrinted>2018-03-29T22:20:51Z</cp:lastPrinted>
  <dcterms:created xsi:type="dcterms:W3CDTF">2003-01-30T17:16:15Z</dcterms:created>
  <dcterms:modified xsi:type="dcterms:W3CDTF">2018-06-01T22:42:39Z</dcterms:modified>
</cp:coreProperties>
</file>