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ene\Desktop\Keene's Staff Reports\CY 2017\June 2017\"/>
    </mc:Choice>
  </mc:AlternateContent>
  <bookViews>
    <workbookView xWindow="0" yWindow="0" windowWidth="15360" windowHeight="7155"/>
  </bookViews>
  <sheets>
    <sheet name="2017-2018" sheetId="1" r:id="rId1"/>
    <sheet name="Payroll " sheetId="6" r:id="rId2"/>
    <sheet name="Administrative" sheetId="7" r:id="rId3"/>
    <sheet name="Services" sheetId="8" r:id="rId4"/>
    <sheet name="Other LAFCOs" sheetId="9" r:id="rId5"/>
  </sheets>
  <calcPr calcId="152511"/>
</workbook>
</file>

<file path=xl/calcChain.xml><?xml version="1.0" encoding="utf-8"?>
<calcChain xmlns="http://schemas.openxmlformats.org/spreadsheetml/2006/main">
  <c r="B29" i="6" l="1"/>
  <c r="G28" i="6"/>
  <c r="D16" i="9" l="1"/>
  <c r="F16" i="9"/>
  <c r="T36" i="1" l="1"/>
  <c r="T26" i="1" l="1"/>
  <c r="D57" i="1"/>
  <c r="D58" i="1"/>
  <c r="B21" i="7"/>
  <c r="J58" i="1"/>
  <c r="G58" i="1"/>
  <c r="G57" i="1"/>
  <c r="J57" i="1"/>
  <c r="B20" i="7"/>
  <c r="G21" i="6" l="1"/>
  <c r="F23" i="6" s="1"/>
  <c r="F50" i="6"/>
  <c r="K49" i="6"/>
  <c r="T14" i="1"/>
  <c r="T42" i="1"/>
  <c r="J13" i="8"/>
  <c r="L16" i="8" s="1"/>
  <c r="T18" i="1"/>
  <c r="B20" i="6"/>
  <c r="B19" i="6"/>
  <c r="E46" i="8"/>
  <c r="E37" i="8"/>
  <c r="E20" i="8"/>
  <c r="E8" i="8"/>
  <c r="L6" i="8"/>
  <c r="L23" i="8"/>
  <c r="L34" i="8"/>
  <c r="L45" i="8"/>
  <c r="J29" i="8"/>
  <c r="J42" i="8"/>
  <c r="J47" i="6"/>
  <c r="I47" i="6"/>
  <c r="H47" i="6"/>
  <c r="G47" i="6"/>
  <c r="A50" i="8" l="1"/>
  <c r="N47" i="1" l="1"/>
  <c r="N45" i="1"/>
  <c r="N44" i="1"/>
  <c r="N43" i="1"/>
  <c r="N41" i="1"/>
  <c r="N38" i="1"/>
  <c r="N37" i="1"/>
  <c r="N36" i="1"/>
  <c r="N39" i="1"/>
  <c r="N46" i="1"/>
  <c r="N42" i="1"/>
  <c r="N48" i="1" l="1"/>
  <c r="P48" i="1" s="1"/>
  <c r="T82" i="1"/>
  <c r="T77" i="1"/>
  <c r="T53" i="1"/>
  <c r="T39" i="1"/>
  <c r="T40" i="1"/>
  <c r="J41" i="8"/>
  <c r="B45" i="8"/>
  <c r="D20" i="6"/>
  <c r="P7" i="9" l="1"/>
  <c r="P13" i="9"/>
  <c r="P12" i="9"/>
  <c r="P11" i="9"/>
  <c r="P10" i="9"/>
  <c r="P9" i="9"/>
  <c r="P8" i="9"/>
  <c r="P6" i="9"/>
  <c r="P5" i="9"/>
  <c r="N13" i="9"/>
  <c r="N12" i="9"/>
  <c r="N11" i="9"/>
  <c r="N10" i="9"/>
  <c r="N9" i="9"/>
  <c r="N8" i="9"/>
  <c r="N6" i="9"/>
  <c r="N5" i="9"/>
  <c r="C8" i="8" l="1"/>
  <c r="F15" i="6" l="1"/>
  <c r="K55" i="1"/>
  <c r="J48" i="1"/>
  <c r="J31" i="1"/>
  <c r="J20" i="1"/>
  <c r="J55" i="1" l="1"/>
  <c r="F7" i="9" s="1"/>
  <c r="P39" i="1"/>
  <c r="Q39" i="1" s="1"/>
  <c r="P81" i="1"/>
  <c r="Q81" i="1" s="1"/>
  <c r="Q75" i="1"/>
  <c r="N82" i="1"/>
  <c r="P82" i="1" s="1"/>
  <c r="Q82" i="1" s="1"/>
  <c r="N77" i="1"/>
  <c r="P40" i="1"/>
  <c r="N19" i="1"/>
  <c r="T19" i="1" s="1"/>
  <c r="P37" i="1" l="1"/>
  <c r="Q37" i="1" s="1"/>
  <c r="T37" i="1"/>
  <c r="P47" i="1"/>
  <c r="Q47" i="1" s="1"/>
  <c r="T47" i="1"/>
  <c r="P19" i="1"/>
  <c r="Q19" i="1" s="1"/>
  <c r="J23" i="8"/>
  <c r="J22" i="8"/>
  <c r="J30" i="8"/>
  <c r="J43" i="8"/>
  <c r="C13" i="7"/>
  <c r="B30" i="7"/>
  <c r="P43" i="1"/>
  <c r="Q43" i="1" s="1"/>
  <c r="T43" i="1" l="1"/>
  <c r="P46" i="1"/>
  <c r="T46" i="1"/>
  <c r="P42" i="1"/>
  <c r="Q42" i="1" s="1"/>
  <c r="B36" i="8"/>
  <c r="C10" i="7"/>
  <c r="D19" i="6"/>
  <c r="B21" i="6" s="1"/>
  <c r="P45" i="1" l="1"/>
  <c r="Q45" i="1" s="1"/>
  <c r="T45" i="1"/>
  <c r="I6" i="6"/>
  <c r="J31" i="8"/>
  <c r="J33" i="8"/>
  <c r="J32" i="8"/>
  <c r="C7" i="8"/>
  <c r="C14" i="7"/>
  <c r="D21" i="7"/>
  <c r="D20" i="7"/>
  <c r="D30" i="7"/>
  <c r="D31" i="7"/>
  <c r="D44" i="7"/>
  <c r="D43" i="7"/>
  <c r="D42" i="7"/>
  <c r="D41" i="7"/>
  <c r="D46" i="7" s="1"/>
  <c r="N28" i="1" s="1"/>
  <c r="K27" i="7"/>
  <c r="J27" i="7"/>
  <c r="I27" i="7"/>
  <c r="K18" i="7"/>
  <c r="J18" i="7"/>
  <c r="I18" i="7"/>
  <c r="K7" i="7"/>
  <c r="K8" i="7"/>
  <c r="K9" i="7"/>
  <c r="M42" i="7"/>
  <c r="M41" i="7"/>
  <c r="M40" i="7"/>
  <c r="K47" i="6"/>
  <c r="G35" i="6"/>
  <c r="F38" i="6" s="1"/>
  <c r="N18" i="1" s="1"/>
  <c r="P18" i="1" s="1"/>
  <c r="Q18" i="1" s="1"/>
  <c r="N17" i="1"/>
  <c r="T17" i="1" s="1"/>
  <c r="P28" i="1" l="1"/>
  <c r="Q28" i="1" s="1"/>
  <c r="T28" i="1"/>
  <c r="N25" i="1"/>
  <c r="T25" i="1" s="1"/>
  <c r="P41" i="1"/>
  <c r="Q41" i="1" s="1"/>
  <c r="T41" i="1"/>
  <c r="T38" i="1"/>
  <c r="P38" i="1"/>
  <c r="Q38" i="1" s="1"/>
  <c r="P17" i="1"/>
  <c r="Q17" i="1" s="1"/>
  <c r="P44" i="1"/>
  <c r="Q44" i="1" s="1"/>
  <c r="T44" i="1"/>
  <c r="T48" i="1" s="1"/>
  <c r="D23" i="7"/>
  <c r="N26" i="1" s="1"/>
  <c r="D34" i="7"/>
  <c r="N27" i="1" s="1"/>
  <c r="K20" i="7"/>
  <c r="M44" i="7"/>
  <c r="N30" i="1" s="1"/>
  <c r="K10" i="7"/>
  <c r="J6" i="6"/>
  <c r="K33" i="7" l="1"/>
  <c r="P27" i="1"/>
  <c r="Q27" i="1" s="1"/>
  <c r="T27" i="1"/>
  <c r="P25" i="1"/>
  <c r="Q25" i="1" s="1"/>
  <c r="P30" i="1"/>
  <c r="Q30" i="1" s="1"/>
  <c r="T30" i="1"/>
  <c r="P26" i="1"/>
  <c r="Q26" i="1" s="1"/>
  <c r="N15" i="1"/>
  <c r="P36" i="1"/>
  <c r="Q36" i="1" s="1"/>
  <c r="T15" i="1" l="1"/>
  <c r="N29" i="1"/>
  <c r="P29" i="1" s="1"/>
  <c r="Q29" i="1" s="1"/>
  <c r="A51" i="7"/>
  <c r="P15" i="1"/>
  <c r="Q15" i="1" s="1"/>
  <c r="Q48" i="1"/>
  <c r="B14" i="6"/>
  <c r="B13" i="6"/>
  <c r="D13" i="6"/>
  <c r="B8" i="6"/>
  <c r="B7" i="6"/>
  <c r="D8" i="6"/>
  <c r="D7" i="6"/>
  <c r="L82" i="1"/>
  <c r="L77" i="1"/>
  <c r="L71" i="1"/>
  <c r="L48" i="1"/>
  <c r="L31" i="1"/>
  <c r="L20" i="1"/>
  <c r="N31" i="1" l="1"/>
  <c r="P31" i="1" s="1"/>
  <c r="Q31" i="1" s="1"/>
  <c r="T29" i="1"/>
  <c r="T31" i="1" s="1"/>
  <c r="B9" i="6"/>
  <c r="L55" i="1"/>
  <c r="L84" i="1"/>
  <c r="I5" i="6"/>
  <c r="J5" i="6" s="1"/>
  <c r="B15" i="6"/>
  <c r="I4" i="6" l="1"/>
  <c r="J4" i="6" s="1"/>
  <c r="F8" i="6" s="1"/>
  <c r="N13" i="1"/>
  <c r="L87" i="1"/>
  <c r="H71" i="1"/>
  <c r="H70" i="1"/>
  <c r="H69" i="1"/>
  <c r="H68" i="1"/>
  <c r="T13" i="1" l="1"/>
  <c r="N20" i="1"/>
  <c r="N14" i="1"/>
  <c r="B50" i="6"/>
  <c r="N16" i="1"/>
  <c r="P13" i="1"/>
  <c r="Q13" i="1" s="1"/>
  <c r="H48" i="1"/>
  <c r="H25" i="1"/>
  <c r="H31" i="1" s="1"/>
  <c r="G20" i="1"/>
  <c r="T16" i="1" l="1"/>
  <c r="T20" i="1"/>
  <c r="T55" i="1" s="1"/>
  <c r="T67" i="1" s="1"/>
  <c r="P14" i="1"/>
  <c r="Q14" i="1" s="1"/>
  <c r="P16" i="1"/>
  <c r="Q16" i="1" s="1"/>
  <c r="H82" i="1"/>
  <c r="T71" i="1" l="1"/>
  <c r="T84" i="1" s="1"/>
  <c r="T87" i="1" s="1"/>
  <c r="P20" i="1"/>
  <c r="Q20" i="1" s="1"/>
  <c r="N55" i="1"/>
  <c r="H20" i="1"/>
  <c r="H55" i="1" s="1"/>
  <c r="N57" i="1" l="1"/>
  <c r="N58" i="1"/>
  <c r="T70" i="1"/>
  <c r="T58" i="1"/>
  <c r="T68" i="1"/>
  <c r="T69" i="1"/>
  <c r="T57" i="1"/>
  <c r="N67" i="1"/>
  <c r="P67" i="1" s="1"/>
  <c r="Q67" i="1" s="1"/>
  <c r="P55" i="1"/>
  <c r="Q55" i="1" s="1"/>
  <c r="E77" i="1"/>
  <c r="F77" i="1"/>
  <c r="D77" i="1"/>
  <c r="D84" i="1" s="1"/>
  <c r="D69" i="1"/>
  <c r="D70" i="1"/>
  <c r="E71" i="1"/>
  <c r="G68" i="1"/>
  <c r="G69" i="1"/>
  <c r="N69" i="1" l="1"/>
  <c r="P69" i="1" s="1"/>
  <c r="Q69" i="1" s="1"/>
  <c r="N68" i="1"/>
  <c r="P68" i="1" s="1"/>
  <c r="Q68" i="1" s="1"/>
  <c r="N70" i="1"/>
  <c r="P70" i="1" s="1"/>
  <c r="Q70" i="1" s="1"/>
  <c r="N71" i="1"/>
  <c r="N84" i="1" s="1"/>
  <c r="E84" i="1"/>
  <c r="P71" i="1" l="1"/>
  <c r="Q71" i="1" s="1"/>
  <c r="N87" i="1"/>
  <c r="P84" i="1"/>
  <c r="Q84" i="1" s="1"/>
  <c r="G77" i="1"/>
  <c r="G31" i="1"/>
  <c r="G82" i="1" l="1"/>
  <c r="E20" i="1" l="1"/>
  <c r="D20" i="1"/>
  <c r="G48" i="1" l="1"/>
  <c r="G55" i="1" l="1"/>
  <c r="D7" i="9" s="1"/>
  <c r="E48" i="1"/>
  <c r="E31" i="1"/>
  <c r="E55" i="1" l="1"/>
  <c r="E87" i="1" s="1"/>
  <c r="G71" i="1"/>
  <c r="G70" i="1"/>
  <c r="D48" i="1"/>
  <c r="D31" i="1"/>
  <c r="G84" i="1" l="1"/>
  <c r="D55" i="1"/>
  <c r="H77" i="1"/>
  <c r="G87" i="1" l="1"/>
  <c r="H84" i="1"/>
  <c r="H87" i="1" l="1"/>
  <c r="H94" i="1" s="1"/>
  <c r="L94" i="1" s="1"/>
  <c r="N94" i="1" s="1"/>
  <c r="T94" i="1" s="1"/>
</calcChain>
</file>

<file path=xl/comments1.xml><?xml version="1.0" encoding="utf-8"?>
<comments xmlns="http://schemas.openxmlformats.org/spreadsheetml/2006/main">
  <authors>
    <author>Keene Simonds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Salary/Sick/Vacation/Holiday/Personal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Assumes Merit Increase for Analyst and Admin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POB Retirement/I/III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Assumes Increase In Step with Merit Changes for Analyst and Admin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Fringe/Vision/Dental/Health/Life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Budgets $10k for EDMS payment installation</t>
        </r>
      </text>
    </comment>
  </commentList>
</comments>
</file>

<file path=xl/sharedStrings.xml><?xml version="1.0" encoding="utf-8"?>
<sst xmlns="http://schemas.openxmlformats.org/spreadsheetml/2006/main" count="342" uniqueCount="240">
  <si>
    <t>Account</t>
  </si>
  <si>
    <t xml:space="preserve">Workers Compensation </t>
  </si>
  <si>
    <t>Commissioner Per Diems</t>
  </si>
  <si>
    <t>Legal Services</t>
  </si>
  <si>
    <t xml:space="preserve">Account </t>
  </si>
  <si>
    <t xml:space="preserve">Description </t>
  </si>
  <si>
    <t xml:space="preserve">Actual </t>
  </si>
  <si>
    <t>Description</t>
  </si>
  <si>
    <t>Service Charges</t>
  </si>
  <si>
    <t>Investments</t>
  </si>
  <si>
    <t xml:space="preserve">Interest </t>
  </si>
  <si>
    <t>EXPENSE TOTALS</t>
  </si>
  <si>
    <t>REVENUE TOTALS</t>
  </si>
  <si>
    <t>Adopted</t>
  </si>
  <si>
    <t xml:space="preserve">Miscellaneous </t>
  </si>
  <si>
    <t xml:space="preserve">Intergovernmental </t>
  </si>
  <si>
    <t xml:space="preserve">Contingencies </t>
  </si>
  <si>
    <t>Unemployment Insurance</t>
  </si>
  <si>
    <t>Professional Services</t>
  </si>
  <si>
    <t>Conferences</t>
  </si>
  <si>
    <t xml:space="preserve">Salary and Benefit Costs </t>
  </si>
  <si>
    <t xml:space="preserve">Service and Supply Costs </t>
  </si>
  <si>
    <t>Membership and Dues</t>
  </si>
  <si>
    <t xml:space="preserve">General Insurance </t>
  </si>
  <si>
    <t xml:space="preserve">Communication Services </t>
  </si>
  <si>
    <t>Reprographic/Map Services</t>
  </si>
  <si>
    <t xml:space="preserve">Operating Reserve </t>
  </si>
  <si>
    <t xml:space="preserve">Agency Contributions </t>
  </si>
  <si>
    <t xml:space="preserve">    County of Marin</t>
  </si>
  <si>
    <t>Application Fees</t>
  </si>
  <si>
    <t xml:space="preserve">Expense Ledger </t>
  </si>
  <si>
    <t>Revenue Ledger</t>
  </si>
  <si>
    <t xml:space="preserve">               </t>
  </si>
  <si>
    <t xml:space="preserve">                 </t>
  </si>
  <si>
    <t>FY14-15</t>
  </si>
  <si>
    <t>FY2014-2015</t>
  </si>
  <si>
    <t>-</t>
  </si>
  <si>
    <t>FY2015-2016</t>
  </si>
  <si>
    <t xml:space="preserve">   As of June 30th</t>
  </si>
  <si>
    <t>Actual</t>
  </si>
  <si>
    <t>FY15-16</t>
  </si>
  <si>
    <t>FY2016-2017</t>
  </si>
  <si>
    <t>FY16-17</t>
  </si>
  <si>
    <t>Actuals</t>
  </si>
  <si>
    <t>OPERATING NET</t>
  </si>
  <si>
    <t>Estimated</t>
  </si>
  <si>
    <t>FY17-18</t>
  </si>
  <si>
    <t>Difference</t>
  </si>
  <si>
    <t>FY2017-2018</t>
  </si>
  <si>
    <t>Cash-Out</t>
  </si>
  <si>
    <t>Salary | 40 Hours Per Week</t>
  </si>
  <si>
    <t>Analyst</t>
  </si>
  <si>
    <t>EO</t>
  </si>
  <si>
    <t>Clerk</t>
  </si>
  <si>
    <t xml:space="preserve">Payroll Tax </t>
  </si>
  <si>
    <t>Rate</t>
  </si>
  <si>
    <t>Charge</t>
  </si>
  <si>
    <t>Current Rate</t>
  </si>
  <si>
    <t>Projected Rate</t>
  </si>
  <si>
    <t>Position</t>
  </si>
  <si>
    <t xml:space="preserve">Clerk </t>
  </si>
  <si>
    <t>Projected Salary</t>
  </si>
  <si>
    <t>Current Charge</t>
  </si>
  <si>
    <t>Projected Charge</t>
  </si>
  <si>
    <t>Health</t>
  </si>
  <si>
    <t>Dental</t>
  </si>
  <si>
    <t>Life</t>
  </si>
  <si>
    <t>Vision</t>
  </si>
  <si>
    <t>Fringe</t>
  </si>
  <si>
    <t xml:space="preserve">EO </t>
  </si>
  <si>
    <t xml:space="preserve">Accounting | Payroll </t>
  </si>
  <si>
    <t>Travel and Mileage</t>
  </si>
  <si>
    <t>Per Diems</t>
  </si>
  <si>
    <t>Regular Meetings</t>
  </si>
  <si>
    <t>Special Meetings</t>
  </si>
  <si>
    <t xml:space="preserve">Committee Meetings </t>
  </si>
  <si>
    <t>Type:</t>
  </si>
  <si>
    <t>Number</t>
  </si>
  <si>
    <t xml:space="preserve">Attendance </t>
  </si>
  <si>
    <t>Miles</t>
  </si>
  <si>
    <t>Commissioner</t>
  </si>
  <si>
    <t>Registration</t>
  </si>
  <si>
    <t>Hotel/Food</t>
  </si>
  <si>
    <t>Transport</t>
  </si>
  <si>
    <t>Leg Meetings</t>
  </si>
  <si>
    <t>Annual Workshop | Marin</t>
  </si>
  <si>
    <t xml:space="preserve">Annual Conference | San Diego </t>
  </si>
  <si>
    <t xml:space="preserve">Registratoin </t>
  </si>
  <si>
    <t xml:space="preserve">CALAFCO Annual </t>
  </si>
  <si>
    <t>CALAFCO Worksop</t>
  </si>
  <si>
    <t>APA</t>
  </si>
  <si>
    <t>CALAFCO U</t>
  </si>
  <si>
    <t xml:space="preserve">APA </t>
  </si>
  <si>
    <t>Event</t>
  </si>
  <si>
    <t xml:space="preserve">Particpants </t>
  </si>
  <si>
    <t>Cost</t>
  </si>
  <si>
    <t>Service</t>
  </si>
  <si>
    <t>Bookkepping</t>
  </si>
  <si>
    <t>Hours</t>
  </si>
  <si>
    <t xml:space="preserve">Payroll </t>
  </si>
  <si>
    <t>County Counsel</t>
  </si>
  <si>
    <t>Outside Counsel</t>
  </si>
  <si>
    <t>Vendor</t>
  </si>
  <si>
    <t>Workshop Facilitator</t>
  </si>
  <si>
    <t>Bill Chiat</t>
  </si>
  <si>
    <t>Workshop Catering</t>
  </si>
  <si>
    <t>Forks and Fingers</t>
  </si>
  <si>
    <t xml:space="preserve">Annual Audit </t>
  </si>
  <si>
    <t>Riccardi</t>
  </si>
  <si>
    <t>Security Services</t>
  </si>
  <si>
    <t>Barbier</t>
  </si>
  <si>
    <t>Rent | Leases</t>
  </si>
  <si>
    <t>Office Space</t>
  </si>
  <si>
    <t>Meeting Place</t>
  </si>
  <si>
    <t>Type</t>
  </si>
  <si>
    <t>Place</t>
  </si>
  <si>
    <t>MCE</t>
  </si>
  <si>
    <t>Los Gamos</t>
  </si>
  <si>
    <t>MarinMap</t>
  </si>
  <si>
    <t xml:space="preserve">CALAFCO </t>
  </si>
  <si>
    <t>CSDA</t>
  </si>
  <si>
    <t>MarinTV</t>
  </si>
  <si>
    <t>Website</t>
  </si>
  <si>
    <t xml:space="preserve">CivicPlus </t>
  </si>
  <si>
    <t>Publications</t>
  </si>
  <si>
    <t>Outside Printing</t>
  </si>
  <si>
    <t>Legal Notices</t>
  </si>
  <si>
    <t xml:space="preserve">Training </t>
  </si>
  <si>
    <t xml:space="preserve">Equipment </t>
  </si>
  <si>
    <t>General Office</t>
  </si>
  <si>
    <t>Office Supplies</t>
  </si>
  <si>
    <t>Communications</t>
  </si>
  <si>
    <t>EO Phone</t>
  </si>
  <si>
    <t>Comcast</t>
  </si>
  <si>
    <t>Email Hosting</t>
  </si>
  <si>
    <t>DropBox</t>
  </si>
  <si>
    <t>Postage</t>
  </si>
  <si>
    <t xml:space="preserve">Salary | 30 Hours Per Week </t>
  </si>
  <si>
    <t>Salary | 40 Hours Per Week @ Step III</t>
  </si>
  <si>
    <t>Hosting</t>
  </si>
  <si>
    <t>FP Mailing Box Rental</t>
  </si>
  <si>
    <t>Miscellanous</t>
  </si>
  <si>
    <t>Water Service</t>
  </si>
  <si>
    <t>Meeting Catering</t>
  </si>
  <si>
    <t>Marin IT</t>
  </si>
  <si>
    <t>IT Services</t>
  </si>
  <si>
    <t>MSR Support | Statistics</t>
  </si>
  <si>
    <t>Computer Replacement</t>
  </si>
  <si>
    <t>Ricon Maintenance Agreement</t>
  </si>
  <si>
    <t>Copies</t>
  </si>
  <si>
    <t>Clerk Recruitment</t>
  </si>
  <si>
    <t>Chair-EO Breakfasts</t>
  </si>
  <si>
    <t xml:space="preserve">Monitor Replacement </t>
  </si>
  <si>
    <t xml:space="preserve">Accounting and Payroll </t>
  </si>
  <si>
    <t>Work Conferences</t>
  </si>
  <si>
    <t>Mileage and Travel</t>
  </si>
  <si>
    <t>Ongoing Education and Training</t>
  </si>
  <si>
    <t xml:space="preserve">Public Notices and Publications </t>
  </si>
  <si>
    <t>Website and Graphic Design</t>
  </si>
  <si>
    <t xml:space="preserve">General Office Supplies </t>
  </si>
  <si>
    <t>Records Storage</t>
  </si>
  <si>
    <t>Employee Retirement (MCERA)</t>
  </si>
  <si>
    <t>Employee Benefits (County of Marin)</t>
  </si>
  <si>
    <t>Amended</t>
  </si>
  <si>
    <t>Office Space Leases/Rents</t>
  </si>
  <si>
    <t>Office Equipment and Replacement</t>
  </si>
  <si>
    <t>TOTAL</t>
  </si>
  <si>
    <t>Alameda</t>
  </si>
  <si>
    <t>Contra Costa</t>
  </si>
  <si>
    <t>San Mateo</t>
  </si>
  <si>
    <t>Santa Clara</t>
  </si>
  <si>
    <t>Solano</t>
  </si>
  <si>
    <t xml:space="preserve">Sonoma </t>
  </si>
  <si>
    <t>Napa</t>
  </si>
  <si>
    <t>San Francisco</t>
  </si>
  <si>
    <t>2015-2016</t>
  </si>
  <si>
    <t>2016-2017</t>
  </si>
  <si>
    <t>Employees</t>
  </si>
  <si>
    <t>Cities &amp;</t>
  </si>
  <si>
    <t>Towns</t>
  </si>
  <si>
    <t xml:space="preserve">Special </t>
  </si>
  <si>
    <t>Districts</t>
  </si>
  <si>
    <t>Total</t>
  </si>
  <si>
    <t>Agencies</t>
  </si>
  <si>
    <t>Full Time</t>
  </si>
  <si>
    <t>yes</t>
  </si>
  <si>
    <t>no</t>
  </si>
  <si>
    <t>Staff</t>
  </si>
  <si>
    <t>Marin</t>
  </si>
  <si>
    <t xml:space="preserve">    Independent Special Districts (30)</t>
  </si>
  <si>
    <t xml:space="preserve"> UNRESERVED/UNRESTRICTED FUND BALANCE</t>
  </si>
  <si>
    <t>TBD</t>
  </si>
  <si>
    <t>County</t>
  </si>
  <si>
    <t xml:space="preserve">    Cities and Towns (11)</t>
  </si>
  <si>
    <t>FY18-19</t>
  </si>
  <si>
    <t>FY2018-2019</t>
  </si>
  <si>
    <t>Salary | 40 Hours Per Week @ Step IV</t>
  </si>
  <si>
    <t>Special Departmental Expense</t>
  </si>
  <si>
    <t>Other Post Employment Benefits</t>
  </si>
  <si>
    <t>Telegraph</t>
  </si>
  <si>
    <t>Staff Salaries</t>
  </si>
  <si>
    <t>Salaries and Benefits | Assumptions</t>
  </si>
  <si>
    <t xml:space="preserve">Regular Salaries </t>
  </si>
  <si>
    <t xml:space="preserve">Analyst Position | Asssumes 3.0% COLA </t>
  </si>
  <si>
    <t xml:space="preserve">Executive Officer Position | Assumes 3.0% COLA </t>
  </si>
  <si>
    <t>Payroll Tax</t>
  </si>
  <si>
    <t>2017-2018 Rate</t>
  </si>
  <si>
    <t>2017-18 Salaries</t>
  </si>
  <si>
    <t>MCERA Pension Costs</t>
  </si>
  <si>
    <t>Insurance Benefits</t>
  </si>
  <si>
    <t xml:space="preserve">Commission Clerk Position | Assumes 3.0% COLA </t>
  </si>
  <si>
    <t>* Assumes LAFCO will hire new employee at County's Office Assistant II class</t>
  </si>
  <si>
    <t xml:space="preserve">* Assumes new hire will work 30 hours; resets hours to pre 16-17 levels </t>
  </si>
  <si>
    <t>* Acturial estimate</t>
  </si>
  <si>
    <t>* Estimate from SDRMA</t>
  </si>
  <si>
    <t xml:space="preserve">* Assumes 3% increase </t>
  </si>
  <si>
    <t>Administrative Costs | Assumptions</t>
  </si>
  <si>
    <t>Service and Supply Costs | Assumptions</t>
  </si>
  <si>
    <t xml:space="preserve">UC Extension | Rachel </t>
  </si>
  <si>
    <t>Bay Area LAFCO Budget Comparisons</t>
  </si>
  <si>
    <t>Consultant</t>
  </si>
  <si>
    <t>* Based on MCERA Estimate</t>
  </si>
  <si>
    <t>Analyst (PEPRA)</t>
  </si>
  <si>
    <t>Clerk (PEPRA)</t>
  </si>
  <si>
    <t>* assumes 1.5% decrease</t>
  </si>
  <si>
    <t xml:space="preserve">Contingency |  Cover Potential Mid-Year Adjustments </t>
  </si>
  <si>
    <t xml:space="preserve">   * assumes $850 unit cost</t>
  </si>
  <si>
    <t>Commissioner Tablets (8)</t>
  </si>
  <si>
    <t xml:space="preserve">  * assumes 6 recordings </t>
  </si>
  <si>
    <t xml:space="preserve">Special Events | MCCMC, Etc. </t>
  </si>
  <si>
    <t>Consultants</t>
  </si>
  <si>
    <t xml:space="preserve">General Administrative Costs </t>
  </si>
  <si>
    <t>Prior Year Difference</t>
  </si>
  <si>
    <t>HR Services</t>
  </si>
  <si>
    <t xml:space="preserve">Miscellaneous / Petty Cash </t>
  </si>
  <si>
    <t>excludes SF</t>
  </si>
  <si>
    <t>Outside Average:</t>
  </si>
  <si>
    <t>Post Employment Benefits (CalPERS)</t>
  </si>
  <si>
    <t>Final</t>
  </si>
  <si>
    <t>(negative amounts reflect draw down on reserves)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</si>
</sst>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000"/>
    <numFmt numFmtId="167" formatCode="_(* #,##0_);_(* \(#,##0\);_(* &quot;-&quot;??_);_(@_)"/>
    <numFmt numFmtId="168" formatCode="0.0%"/>
  </numFmts>
  <fonts count="31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ndara"/>
      <family val="2"/>
    </font>
    <font>
      <u val="singleAccounting"/>
      <sz val="10"/>
      <name val="Candara"/>
      <family val="2"/>
    </font>
    <font>
      <b/>
      <sz val="10"/>
      <name val="Candara"/>
      <family val="2"/>
    </font>
    <font>
      <b/>
      <sz val="12"/>
      <name val="Candara"/>
      <family val="2"/>
    </font>
    <font>
      <sz val="10"/>
      <color theme="0"/>
      <name val="Candara"/>
      <family val="2"/>
    </font>
    <font>
      <b/>
      <sz val="10"/>
      <color theme="0"/>
      <name val="Candara"/>
      <family val="2"/>
    </font>
    <font>
      <b/>
      <sz val="11"/>
      <name val="Candara"/>
      <family val="2"/>
    </font>
    <font>
      <sz val="10"/>
      <color theme="9" tint="-0.249977111117893"/>
      <name val="Candara"/>
      <family val="2"/>
    </font>
    <font>
      <sz val="8"/>
      <name val="Candara"/>
      <family val="2"/>
    </font>
    <font>
      <b/>
      <sz val="8"/>
      <name val="Candara"/>
      <family val="2"/>
    </font>
    <font>
      <b/>
      <sz val="16"/>
      <name val="Candara"/>
      <family val="2"/>
    </font>
    <font>
      <sz val="14"/>
      <name val="Candara"/>
      <family val="2"/>
    </font>
    <font>
      <sz val="12"/>
      <name val="Candara"/>
      <family val="2"/>
    </font>
    <font>
      <i/>
      <sz val="8"/>
      <name val="Candara"/>
      <family val="2"/>
    </font>
    <font>
      <b/>
      <u/>
      <sz val="8"/>
      <color indexed="63"/>
      <name val="Candara"/>
      <family val="2"/>
    </font>
    <font>
      <sz val="8"/>
      <color rgb="FFFF0000"/>
      <name val="Candara"/>
      <family val="2"/>
    </font>
    <font>
      <b/>
      <u/>
      <sz val="8"/>
      <name val="Candara"/>
      <family val="2"/>
    </font>
    <font>
      <sz val="7"/>
      <name val="Candara"/>
      <family val="2"/>
    </font>
    <font>
      <b/>
      <i/>
      <sz val="8"/>
      <name val="Candara"/>
      <family val="2"/>
    </font>
    <font>
      <u val="singleAccounting"/>
      <sz val="8"/>
      <name val="Candara"/>
      <family val="2"/>
    </font>
    <font>
      <b/>
      <sz val="9"/>
      <name val="Candara"/>
      <family val="2"/>
    </font>
    <font>
      <sz val="10"/>
      <color rgb="FFFF0000"/>
      <name val="Candara"/>
      <family val="2"/>
    </font>
    <font>
      <b/>
      <sz val="14"/>
      <name val="Candara"/>
      <family val="2"/>
    </font>
    <font>
      <b/>
      <sz val="11"/>
      <color theme="0"/>
      <name val="Candara"/>
      <family val="2"/>
    </font>
    <font>
      <b/>
      <sz val="11"/>
      <color theme="5"/>
      <name val="Candara"/>
      <family val="2"/>
    </font>
    <font>
      <b/>
      <sz val="12"/>
      <color theme="5" tint="-0.499984740745262"/>
      <name val="Arial"/>
      <family val="2"/>
    </font>
    <font>
      <sz val="10"/>
      <color theme="5"/>
      <name val="Candara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medium">
        <color indexed="55"/>
      </left>
      <right/>
      <top/>
      <bottom style="double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medium">
        <color theme="0" tint="-0.34998626667073579"/>
      </left>
      <right/>
      <top/>
      <bottom style="double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34998626667073579"/>
      </left>
      <right/>
      <top/>
      <bottom style="thin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24994659260841701"/>
      </right>
      <top/>
      <bottom style="thin">
        <color indexed="64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auto="1"/>
      </bottom>
      <diagonal/>
    </border>
    <border>
      <left/>
      <right style="medium">
        <color theme="0" tint="-0.499984740745262"/>
      </right>
      <top/>
      <bottom style="thin">
        <color auto="1"/>
      </bottom>
      <diagonal/>
    </border>
    <border>
      <left/>
      <right style="medium">
        <color theme="0" tint="-0.499984740745262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0" tint="-0.499984740745262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double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4" fillId="0" borderId="0" xfId="0" applyFont="1"/>
    <xf numFmtId="43" fontId="4" fillId="0" borderId="18" xfId="1" applyFont="1" applyBorder="1"/>
    <xf numFmtId="43" fontId="4" fillId="0" borderId="0" xfId="0" applyNumberFormat="1" applyFont="1"/>
    <xf numFmtId="44" fontId="4" fillId="0" borderId="0" xfId="2" applyFont="1"/>
    <xf numFmtId="44" fontId="5" fillId="0" borderId="0" xfId="2" applyFont="1"/>
    <xf numFmtId="43" fontId="4" fillId="0" borderId="0" xfId="1" applyFont="1"/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0" borderId="0" xfId="0" applyFont="1"/>
    <xf numFmtId="0" fontId="6" fillId="6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43" fontId="4" fillId="0" borderId="0" xfId="1" applyFont="1" applyAlignment="1">
      <alignment horizontal="right"/>
    </xf>
    <xf numFmtId="0" fontId="4" fillId="0" borderId="18" xfId="0" applyFont="1" applyBorder="1"/>
    <xf numFmtId="43" fontId="4" fillId="0" borderId="18" xfId="1" applyFont="1" applyBorder="1" applyAlignment="1">
      <alignment horizontal="right"/>
    </xf>
    <xf numFmtId="0" fontId="9" fillId="5" borderId="0" xfId="0" applyFont="1" applyFill="1"/>
    <xf numFmtId="43" fontId="4" fillId="0" borderId="18" xfId="0" applyNumberFormat="1" applyFont="1" applyBorder="1" applyAlignment="1">
      <alignment horizontal="right"/>
    </xf>
    <xf numFmtId="43" fontId="6" fillId="6" borderId="0" xfId="1" applyFont="1" applyFill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44" fontId="11" fillId="0" borderId="0" xfId="2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Border="1" applyAlignment="1">
      <alignment horizontal="right"/>
    </xf>
    <xf numFmtId="44" fontId="12" fillId="0" borderId="0" xfId="0" applyNumberFormat="1" applyFont="1"/>
    <xf numFmtId="0" fontId="15" fillId="0" borderId="0" xfId="0" applyFont="1"/>
    <xf numFmtId="0" fontId="13" fillId="0" borderId="0" xfId="0" applyFont="1"/>
    <xf numFmtId="44" fontId="12" fillId="0" borderId="0" xfId="0" applyNumberFormat="1" applyFont="1" applyBorder="1"/>
    <xf numFmtId="0" fontId="7" fillId="0" borderId="0" xfId="0" applyFont="1" applyFill="1" applyBorder="1"/>
    <xf numFmtId="0" fontId="16" fillId="0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43" fontId="12" fillId="0" borderId="0" xfId="1" applyFont="1" applyBorder="1"/>
    <xf numFmtId="43" fontId="19" fillId="0" borderId="0" xfId="1" applyFont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43" fontId="19" fillId="0" borderId="0" xfId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43" fontId="12" fillId="0" borderId="0" xfId="1" applyFont="1" applyFill="1" applyBorder="1"/>
    <xf numFmtId="43" fontId="12" fillId="0" borderId="12" xfId="1" applyFont="1" applyFill="1" applyBorder="1" applyAlignment="1">
      <alignment horizontal="right"/>
    </xf>
    <xf numFmtId="43" fontId="12" fillId="0" borderId="0" xfId="1" applyFont="1"/>
    <xf numFmtId="0" fontId="12" fillId="0" borderId="0" xfId="0" applyFont="1" applyFill="1" applyBorder="1" applyAlignment="1">
      <alignment horizontal="right"/>
    </xf>
    <xf numFmtId="43" fontId="12" fillId="0" borderId="0" xfId="1" applyFont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43" fontId="12" fillId="0" borderId="0" xfId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43" fontId="13" fillId="0" borderId="0" xfId="1" applyFont="1" applyBorder="1" applyAlignment="1">
      <alignment horizontal="right"/>
    </xf>
    <xf numFmtId="43" fontId="13" fillId="0" borderId="0" xfId="1" applyFont="1" applyBorder="1"/>
    <xf numFmtId="0" fontId="6" fillId="0" borderId="0" xfId="0" applyFont="1" applyBorder="1"/>
    <xf numFmtId="0" fontId="20" fillId="0" borderId="0" xfId="0" applyFont="1"/>
    <xf numFmtId="43" fontId="12" fillId="0" borderId="0" xfId="1" applyFont="1" applyAlignment="1">
      <alignment horizontal="right"/>
    </xf>
    <xf numFmtId="43" fontId="17" fillId="0" borderId="0" xfId="1" applyFont="1" applyAlignment="1">
      <alignment horizontal="right"/>
    </xf>
    <xf numFmtId="0" fontId="21" fillId="0" borderId="0" xfId="0" applyFont="1" applyAlignment="1">
      <alignment horizontal="left"/>
    </xf>
    <xf numFmtId="43" fontId="22" fillId="0" borderId="0" xfId="1" applyFont="1" applyAlignment="1">
      <alignment horizontal="right"/>
    </xf>
    <xf numFmtId="43" fontId="12" fillId="0" borderId="16" xfId="1" applyFont="1" applyFill="1" applyBorder="1" applyAlignment="1">
      <alignment horizontal="right"/>
    </xf>
    <xf numFmtId="43" fontId="13" fillId="0" borderId="0" xfId="1" applyFont="1" applyAlignment="1">
      <alignment horizontal="right"/>
    </xf>
    <xf numFmtId="0" fontId="13" fillId="5" borderId="0" xfId="0" applyFont="1" applyFill="1" applyAlignment="1">
      <alignment horizontal="left"/>
    </xf>
    <xf numFmtId="0" fontId="12" fillId="5" borderId="0" xfId="0" applyFont="1" applyFill="1" applyAlignment="1">
      <alignment horizontal="right"/>
    </xf>
    <xf numFmtId="43" fontId="12" fillId="5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44" fontId="13" fillId="4" borderId="0" xfId="2" applyFont="1" applyFill="1" applyBorder="1"/>
    <xf numFmtId="44" fontId="13" fillId="4" borderId="0" xfId="2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164" fontId="12" fillId="0" borderId="0" xfId="2" applyNumberFormat="1" applyFont="1"/>
    <xf numFmtId="0" fontId="12" fillId="0" borderId="0" xfId="0" applyFont="1" applyBorder="1" applyAlignment="1">
      <alignment horizontal="left"/>
    </xf>
    <xf numFmtId="44" fontId="12" fillId="0" borderId="0" xfId="2" applyFont="1" applyFill="1" applyBorder="1" applyAlignment="1">
      <alignment horizontal="left"/>
    </xf>
    <xf numFmtId="44" fontId="12" fillId="0" borderId="0" xfId="2" applyFont="1" applyFill="1" applyBorder="1" applyAlignment="1">
      <alignment horizontal="right"/>
    </xf>
    <xf numFmtId="0" fontId="6" fillId="10" borderId="0" xfId="0" applyFont="1" applyFill="1" applyBorder="1" applyAlignment="1">
      <alignment horizontal="right"/>
    </xf>
    <xf numFmtId="0" fontId="13" fillId="7" borderId="11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right"/>
    </xf>
    <xf numFmtId="43" fontId="12" fillId="7" borderId="0" xfId="1" applyFont="1" applyFill="1" applyBorder="1" applyAlignment="1">
      <alignment horizontal="right"/>
    </xf>
    <xf numFmtId="43" fontId="17" fillId="7" borderId="0" xfId="1" applyFont="1" applyFill="1" applyBorder="1" applyAlignment="1">
      <alignment horizontal="right"/>
    </xf>
    <xf numFmtId="43" fontId="12" fillId="0" borderId="0" xfId="0" applyNumberFormat="1" applyFont="1" applyFill="1"/>
    <xf numFmtId="0" fontId="13" fillId="11" borderId="6" xfId="0" applyFont="1" applyFill="1" applyBorder="1" applyAlignment="1">
      <alignment horizontal="right"/>
    </xf>
    <xf numFmtId="0" fontId="13" fillId="11" borderId="11" xfId="0" applyFont="1" applyFill="1" applyBorder="1" applyAlignment="1">
      <alignment horizontal="right"/>
    </xf>
    <xf numFmtId="0" fontId="13" fillId="11" borderId="15" xfId="0" applyFont="1" applyFill="1" applyBorder="1" applyAlignment="1">
      <alignment horizontal="right"/>
    </xf>
    <xf numFmtId="0" fontId="13" fillId="11" borderId="7" xfId="0" applyFont="1" applyFill="1" applyBorder="1" applyAlignment="1">
      <alignment horizontal="right"/>
    </xf>
    <xf numFmtId="0" fontId="13" fillId="11" borderId="0" xfId="0" applyFont="1" applyFill="1" applyBorder="1" applyAlignment="1">
      <alignment horizontal="right"/>
    </xf>
    <xf numFmtId="0" fontId="13" fillId="11" borderId="12" xfId="0" applyFont="1" applyFill="1" applyBorder="1" applyAlignment="1">
      <alignment horizontal="right"/>
    </xf>
    <xf numFmtId="0" fontId="12" fillId="11" borderId="7" xfId="0" applyFont="1" applyFill="1" applyBorder="1" applyAlignment="1">
      <alignment horizontal="right"/>
    </xf>
    <xf numFmtId="0" fontId="12" fillId="11" borderId="0" xfId="0" applyFont="1" applyFill="1" applyBorder="1" applyAlignment="1">
      <alignment horizontal="right"/>
    </xf>
    <xf numFmtId="0" fontId="12" fillId="11" borderId="12" xfId="0" applyFont="1" applyFill="1" applyBorder="1" applyAlignment="1">
      <alignment horizontal="right"/>
    </xf>
    <xf numFmtId="43" fontId="12" fillId="11" borderId="0" xfId="1" applyFont="1" applyFill="1" applyBorder="1" applyAlignment="1">
      <alignment horizontal="right"/>
    </xf>
    <xf numFmtId="43" fontId="13" fillId="11" borderId="0" xfId="1" applyFont="1" applyFill="1" applyBorder="1" applyAlignment="1">
      <alignment horizontal="right"/>
    </xf>
    <xf numFmtId="43" fontId="12" fillId="11" borderId="13" xfId="1" applyFont="1" applyFill="1" applyBorder="1" applyAlignment="1">
      <alignment horizontal="right"/>
    </xf>
    <xf numFmtId="0" fontId="12" fillId="11" borderId="18" xfId="0" applyFont="1" applyFill="1" applyBorder="1" applyAlignment="1">
      <alignment horizontal="right"/>
    </xf>
    <xf numFmtId="0" fontId="12" fillId="11" borderId="16" xfId="0" applyFont="1" applyFill="1" applyBorder="1" applyAlignment="1">
      <alignment horizontal="right"/>
    </xf>
    <xf numFmtId="43" fontId="13" fillId="11" borderId="0" xfId="1" applyFont="1" applyFill="1" applyBorder="1" applyAlignment="1">
      <alignment horizontal="right" indent="2"/>
    </xf>
    <xf numFmtId="43" fontId="12" fillId="11" borderId="0" xfId="0" applyNumberFormat="1" applyFont="1" applyFill="1" applyBorder="1"/>
    <xf numFmtId="43" fontId="19" fillId="11" borderId="0" xfId="1" applyFont="1" applyFill="1" applyBorder="1" applyAlignment="1">
      <alignment horizontal="right"/>
    </xf>
    <xf numFmtId="43" fontId="13" fillId="7" borderId="0" xfId="1" applyFont="1" applyFill="1" applyBorder="1" applyAlignment="1">
      <alignment horizontal="right"/>
    </xf>
    <xf numFmtId="0" fontId="12" fillId="7" borderId="13" xfId="0" applyFont="1" applyFill="1" applyBorder="1" applyAlignment="1">
      <alignment horizontal="right"/>
    </xf>
    <xf numFmtId="43" fontId="22" fillId="7" borderId="0" xfId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24" fillId="0" borderId="0" xfId="0" applyFont="1" applyAlignment="1">
      <alignment horizontal="right"/>
    </xf>
    <xf numFmtId="0" fontId="10" fillId="5" borderId="0" xfId="0" applyFont="1" applyFill="1"/>
    <xf numFmtId="44" fontId="25" fillId="0" borderId="0" xfId="2" applyFont="1"/>
    <xf numFmtId="0" fontId="25" fillId="0" borderId="0" xfId="0" applyFont="1"/>
    <xf numFmtId="0" fontId="13" fillId="0" borderId="11" xfId="0" applyFont="1" applyBorder="1" applyAlignment="1">
      <alignment horizontal="right"/>
    </xf>
    <xf numFmtId="0" fontId="26" fillId="0" borderId="0" xfId="0" applyFont="1"/>
    <xf numFmtId="44" fontId="4" fillId="0" borderId="0" xfId="2" applyFont="1" applyAlignment="1">
      <alignment horizontal="right"/>
    </xf>
    <xf numFmtId="0" fontId="9" fillId="9" borderId="24" xfId="0" applyFont="1" applyFill="1" applyBorder="1" applyAlignment="1">
      <alignment horizontal="right"/>
    </xf>
    <xf numFmtId="0" fontId="9" fillId="9" borderId="0" xfId="0" applyFont="1" applyFill="1" applyBorder="1" applyAlignment="1">
      <alignment horizontal="right"/>
    </xf>
    <xf numFmtId="0" fontId="9" fillId="9" borderId="25" xfId="0" applyFont="1" applyFill="1" applyBorder="1" applyAlignment="1">
      <alignment horizontal="right"/>
    </xf>
    <xf numFmtId="0" fontId="9" fillId="9" borderId="26" xfId="0" applyFont="1" applyFill="1" applyBorder="1" applyAlignment="1">
      <alignment horizontal="right"/>
    </xf>
    <xf numFmtId="0" fontId="9" fillId="9" borderId="18" xfId="0" applyFont="1" applyFill="1" applyBorder="1" applyAlignment="1">
      <alignment horizontal="right"/>
    </xf>
    <xf numFmtId="0" fontId="9" fillId="9" borderId="27" xfId="0" applyFont="1" applyFill="1" applyBorder="1" applyAlignment="1">
      <alignment horizontal="right"/>
    </xf>
    <xf numFmtId="0" fontId="8" fillId="12" borderId="24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/>
    </xf>
    <xf numFmtId="0" fontId="8" fillId="12" borderId="25" xfId="0" applyFont="1" applyFill="1" applyBorder="1" applyAlignment="1">
      <alignment horizontal="right"/>
    </xf>
    <xf numFmtId="0" fontId="27" fillId="12" borderId="26" xfId="0" applyFont="1" applyFill="1" applyBorder="1" applyAlignment="1">
      <alignment horizontal="right"/>
    </xf>
    <xf numFmtId="0" fontId="27" fillId="12" borderId="18" xfId="0" applyFont="1" applyFill="1" applyBorder="1" applyAlignment="1">
      <alignment horizontal="right"/>
    </xf>
    <xf numFmtId="0" fontId="27" fillId="12" borderId="27" xfId="0" applyFont="1" applyFill="1" applyBorder="1" applyAlignment="1">
      <alignment horizontal="right"/>
    </xf>
    <xf numFmtId="43" fontId="4" fillId="6" borderId="24" xfId="1" applyFont="1" applyFill="1" applyBorder="1" applyAlignment="1">
      <alignment horizontal="right"/>
    </xf>
    <xf numFmtId="43" fontId="4" fillId="6" borderId="0" xfId="1" applyFont="1" applyFill="1" applyBorder="1" applyAlignment="1">
      <alignment horizontal="right"/>
    </xf>
    <xf numFmtId="43" fontId="4" fillId="6" borderId="25" xfId="1" applyFont="1" applyFill="1" applyBorder="1" applyAlignment="1">
      <alignment horizontal="right"/>
    </xf>
    <xf numFmtId="43" fontId="4" fillId="6" borderId="26" xfId="1" applyFont="1" applyFill="1" applyBorder="1" applyAlignment="1">
      <alignment horizontal="right"/>
    </xf>
    <xf numFmtId="43" fontId="4" fillId="6" borderId="18" xfId="1" applyFont="1" applyFill="1" applyBorder="1" applyAlignment="1">
      <alignment horizontal="right"/>
    </xf>
    <xf numFmtId="43" fontId="4" fillId="6" borderId="27" xfId="1" applyFont="1" applyFill="1" applyBorder="1" applyAlignment="1">
      <alignment horizontal="right"/>
    </xf>
    <xf numFmtId="165" fontId="4" fillId="13" borderId="24" xfId="0" applyNumberFormat="1" applyFont="1" applyFill="1" applyBorder="1" applyAlignment="1">
      <alignment horizontal="right"/>
    </xf>
    <xf numFmtId="0" fontId="4" fillId="13" borderId="0" xfId="0" applyFont="1" applyFill="1" applyBorder="1" applyAlignment="1">
      <alignment horizontal="right"/>
    </xf>
    <xf numFmtId="0" fontId="4" fillId="13" borderId="25" xfId="0" applyFont="1" applyFill="1" applyBorder="1" applyAlignment="1">
      <alignment horizontal="right"/>
    </xf>
    <xf numFmtId="165" fontId="4" fillId="13" borderId="26" xfId="0" applyNumberFormat="1" applyFont="1" applyFill="1" applyBorder="1" applyAlignment="1">
      <alignment horizontal="right"/>
    </xf>
    <xf numFmtId="0" fontId="4" fillId="13" borderId="18" xfId="0" applyFont="1" applyFill="1" applyBorder="1" applyAlignment="1">
      <alignment horizontal="right"/>
    </xf>
    <xf numFmtId="0" fontId="4" fillId="13" borderId="27" xfId="0" applyFont="1" applyFill="1" applyBorder="1" applyAlignment="1">
      <alignment horizontal="right"/>
    </xf>
    <xf numFmtId="0" fontId="4" fillId="0" borderId="29" xfId="0" applyFont="1" applyFill="1" applyBorder="1"/>
    <xf numFmtId="43" fontId="4" fillId="6" borderId="30" xfId="1" applyFont="1" applyFill="1" applyBorder="1" applyAlignment="1">
      <alignment horizontal="right"/>
    </xf>
    <xf numFmtId="43" fontId="4" fillId="6" borderId="29" xfId="1" applyFont="1" applyFill="1" applyBorder="1" applyAlignment="1">
      <alignment horizontal="right"/>
    </xf>
    <xf numFmtId="43" fontId="4" fillId="6" borderId="28" xfId="1" applyFont="1" applyFill="1" applyBorder="1" applyAlignment="1">
      <alignment horizontal="right"/>
    </xf>
    <xf numFmtId="165" fontId="4" fillId="13" borderId="30" xfId="0" applyNumberFormat="1" applyFont="1" applyFill="1" applyBorder="1" applyAlignment="1">
      <alignment horizontal="right"/>
    </xf>
    <xf numFmtId="0" fontId="4" fillId="13" borderId="29" xfId="0" applyFont="1" applyFill="1" applyBorder="1" applyAlignment="1">
      <alignment horizontal="right"/>
    </xf>
    <xf numFmtId="0" fontId="4" fillId="13" borderId="28" xfId="0" applyFont="1" applyFill="1" applyBorder="1" applyAlignment="1">
      <alignment horizontal="right"/>
    </xf>
    <xf numFmtId="0" fontId="4" fillId="14" borderId="0" xfId="0" applyFont="1" applyFill="1"/>
    <xf numFmtId="0" fontId="4" fillId="14" borderId="18" xfId="0" applyFont="1" applyFill="1" applyBorder="1"/>
    <xf numFmtId="0" fontId="4" fillId="15" borderId="0" xfId="0" applyFont="1" applyFill="1"/>
    <xf numFmtId="0" fontId="4" fillId="15" borderId="18" xfId="0" applyFont="1" applyFill="1" applyBorder="1"/>
    <xf numFmtId="0" fontId="4" fillId="14" borderId="29" xfId="0" applyFont="1" applyFill="1" applyBorder="1"/>
    <xf numFmtId="44" fontId="4" fillId="0" borderId="18" xfId="2" applyFont="1" applyBorder="1"/>
    <xf numFmtId="166" fontId="4" fillId="0" borderId="0" xfId="0" applyNumberFormat="1" applyFont="1"/>
    <xf numFmtId="43" fontId="10" fillId="0" borderId="23" xfId="0" applyNumberFormat="1" applyFont="1" applyBorder="1" applyAlignment="1">
      <alignment horizontal="right"/>
    </xf>
    <xf numFmtId="44" fontId="10" fillId="0" borderId="23" xfId="2" applyFont="1" applyBorder="1"/>
    <xf numFmtId="44" fontId="10" fillId="0" borderId="23" xfId="2" applyFont="1" applyBorder="1" applyAlignment="1">
      <alignment horizontal="right"/>
    </xf>
    <xf numFmtId="43" fontId="10" fillId="0" borderId="23" xfId="0" applyNumberFormat="1" applyFont="1" applyBorder="1"/>
    <xf numFmtId="44" fontId="25" fillId="0" borderId="0" xfId="0" applyNumberFormat="1" applyFont="1"/>
    <xf numFmtId="43" fontId="7" fillId="0" borderId="23" xfId="0" applyNumberFormat="1" applyFont="1" applyBorder="1"/>
    <xf numFmtId="43" fontId="7" fillId="0" borderId="23" xfId="0" applyNumberFormat="1" applyFont="1" applyBorder="1" applyAlignment="1">
      <alignment horizontal="right"/>
    </xf>
    <xf numFmtId="0" fontId="12" fillId="5" borderId="0" xfId="0" applyFont="1" applyFill="1"/>
    <xf numFmtId="0" fontId="10" fillId="4" borderId="0" xfId="0" applyFont="1" applyFill="1" applyBorder="1"/>
    <xf numFmtId="44" fontId="12" fillId="4" borderId="0" xfId="2" applyFont="1" applyFill="1" applyBorder="1" applyAlignment="1">
      <alignment horizontal="right"/>
    </xf>
    <xf numFmtId="44" fontId="12" fillId="4" borderId="0" xfId="2" applyFont="1" applyFill="1" applyBorder="1"/>
    <xf numFmtId="0" fontId="13" fillId="16" borderId="31" xfId="0" applyFont="1" applyFill="1" applyBorder="1" applyAlignment="1">
      <alignment horizontal="right"/>
    </xf>
    <xf numFmtId="0" fontId="13" fillId="16" borderId="32" xfId="0" applyFont="1" applyFill="1" applyBorder="1" applyAlignment="1">
      <alignment horizontal="right"/>
    </xf>
    <xf numFmtId="0" fontId="12" fillId="16" borderId="32" xfId="0" applyFont="1" applyFill="1" applyBorder="1" applyAlignment="1">
      <alignment horizontal="right"/>
    </xf>
    <xf numFmtId="167" fontId="12" fillId="0" borderId="7" xfId="1" applyNumberFormat="1" applyFont="1" applyBorder="1" applyAlignment="1">
      <alignment horizontal="right"/>
    </xf>
    <xf numFmtId="167" fontId="12" fillId="0" borderId="12" xfId="0" applyNumberFormat="1" applyFont="1" applyBorder="1" applyAlignment="1">
      <alignment horizontal="right"/>
    </xf>
    <xf numFmtId="167" fontId="12" fillId="0" borderId="7" xfId="1" applyNumberFormat="1" applyFont="1" applyFill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167" fontId="12" fillId="0" borderId="8" xfId="1" applyNumberFormat="1" applyFont="1" applyBorder="1" applyAlignment="1">
      <alignment horizontal="right"/>
    </xf>
    <xf numFmtId="167" fontId="12" fillId="0" borderId="16" xfId="0" applyNumberFormat="1" applyFont="1" applyBorder="1" applyAlignment="1">
      <alignment horizontal="right"/>
    </xf>
    <xf numFmtId="167" fontId="13" fillId="0" borderId="12" xfId="0" applyNumberFormat="1" applyFont="1" applyBorder="1" applyAlignment="1">
      <alignment horizontal="right"/>
    </xf>
    <xf numFmtId="167" fontId="12" fillId="0" borderId="7" xfId="1" applyNumberFormat="1" applyFont="1" applyFill="1" applyBorder="1" applyAlignment="1">
      <alignment horizontal="right" indent="2"/>
    </xf>
    <xf numFmtId="167" fontId="12" fillId="0" borderId="7" xfId="1" applyNumberFormat="1" applyFont="1" applyBorder="1" applyAlignment="1">
      <alignment horizontal="right" indent="2"/>
    </xf>
    <xf numFmtId="167" fontId="12" fillId="0" borderId="4" xfId="1" applyNumberFormat="1" applyFont="1" applyBorder="1" applyAlignment="1">
      <alignment horizontal="right"/>
    </xf>
    <xf numFmtId="167" fontId="12" fillId="0" borderId="3" xfId="1" applyNumberFormat="1" applyFont="1" applyBorder="1" applyAlignment="1">
      <alignment horizontal="right"/>
    </xf>
    <xf numFmtId="167" fontId="12" fillId="0" borderId="1" xfId="1" applyNumberFormat="1" applyFont="1" applyBorder="1" applyAlignment="1">
      <alignment horizontal="right"/>
    </xf>
    <xf numFmtId="167" fontId="12" fillId="0" borderId="2" xfId="1" applyNumberFormat="1" applyFont="1" applyBorder="1" applyAlignment="1">
      <alignment horizontal="right"/>
    </xf>
    <xf numFmtId="167" fontId="12" fillId="0" borderId="19" xfId="1" applyNumberFormat="1" applyFont="1" applyBorder="1" applyAlignment="1">
      <alignment horizontal="right"/>
    </xf>
    <xf numFmtId="167" fontId="12" fillId="0" borderId="16" xfId="1" applyNumberFormat="1" applyFont="1" applyBorder="1" applyAlignment="1">
      <alignment horizontal="right"/>
    </xf>
    <xf numFmtId="167" fontId="12" fillId="0" borderId="5" xfId="1" applyNumberFormat="1" applyFont="1" applyBorder="1" applyAlignment="1">
      <alignment horizontal="right"/>
    </xf>
    <xf numFmtId="167" fontId="12" fillId="0" borderId="17" xfId="0" applyNumberFormat="1" applyFont="1" applyBorder="1" applyAlignment="1">
      <alignment horizontal="right"/>
    </xf>
    <xf numFmtId="167" fontId="12" fillId="0" borderId="10" xfId="1" applyNumberFormat="1" applyFont="1" applyBorder="1" applyAlignment="1">
      <alignment horizontal="right"/>
    </xf>
    <xf numFmtId="167" fontId="13" fillId="0" borderId="14" xfId="0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167" fontId="13" fillId="0" borderId="0" xfId="0" applyNumberFormat="1" applyFont="1" applyAlignment="1">
      <alignment horizontal="right"/>
    </xf>
    <xf numFmtId="167" fontId="13" fillId="0" borderId="6" xfId="0" applyNumberFormat="1" applyFont="1" applyBorder="1" applyAlignment="1">
      <alignment horizontal="right"/>
    </xf>
    <xf numFmtId="167" fontId="13" fillId="0" borderId="15" xfId="0" applyNumberFormat="1" applyFont="1" applyBorder="1" applyAlignment="1">
      <alignment horizontal="right"/>
    </xf>
    <xf numFmtId="167" fontId="13" fillId="0" borderId="7" xfId="0" applyNumberFormat="1" applyFont="1" applyBorder="1" applyAlignment="1">
      <alignment horizontal="right"/>
    </xf>
    <xf numFmtId="167" fontId="12" fillId="0" borderId="7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>
      <alignment horizontal="right"/>
    </xf>
    <xf numFmtId="167" fontId="17" fillId="0" borderId="7" xfId="1" applyNumberFormat="1" applyFont="1" applyBorder="1" applyAlignment="1">
      <alignment horizontal="right"/>
    </xf>
    <xf numFmtId="167" fontId="17" fillId="0" borderId="12" xfId="0" applyNumberFormat="1" applyFont="1" applyBorder="1" applyAlignment="1">
      <alignment horizontal="right"/>
    </xf>
    <xf numFmtId="167" fontId="12" fillId="0" borderId="16" xfId="1" applyNumberFormat="1" applyFont="1" applyFill="1" applyBorder="1" applyAlignment="1">
      <alignment horizontal="right"/>
    </xf>
    <xf numFmtId="167" fontId="12" fillId="0" borderId="19" xfId="1" applyNumberFormat="1" applyFont="1" applyFill="1" applyBorder="1" applyAlignment="1">
      <alignment horizontal="right"/>
    </xf>
    <xf numFmtId="167" fontId="12" fillId="0" borderId="12" xfId="1" applyNumberFormat="1" applyFont="1" applyBorder="1" applyAlignment="1">
      <alignment horizontal="right"/>
    </xf>
    <xf numFmtId="167" fontId="12" fillId="0" borderId="9" xfId="1" applyNumberFormat="1" applyFont="1" applyBorder="1" applyAlignment="1">
      <alignment horizontal="right"/>
    </xf>
    <xf numFmtId="167" fontId="12" fillId="0" borderId="10" xfId="0" applyNumberFormat="1" applyFont="1" applyBorder="1" applyAlignment="1">
      <alignment horizontal="right"/>
    </xf>
    <xf numFmtId="167" fontId="12" fillId="5" borderId="0" xfId="0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right"/>
    </xf>
    <xf numFmtId="167" fontId="13" fillId="11" borderId="7" xfId="1" applyNumberFormat="1" applyFont="1" applyFill="1" applyBorder="1" applyAlignment="1">
      <alignment horizontal="right"/>
    </xf>
    <xf numFmtId="167" fontId="12" fillId="0" borderId="12" xfId="1" applyNumberFormat="1" applyFont="1" applyFill="1" applyBorder="1" applyAlignment="1">
      <alignment horizontal="right"/>
    </xf>
    <xf numFmtId="167" fontId="12" fillId="0" borderId="18" xfId="1" applyNumberFormat="1" applyFont="1" applyBorder="1" applyAlignment="1">
      <alignment horizontal="right"/>
    </xf>
    <xf numFmtId="167" fontId="13" fillId="11" borderId="19" xfId="1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7" fontId="12" fillId="11" borderId="7" xfId="1" applyNumberFormat="1" applyFont="1" applyFill="1" applyBorder="1" applyAlignment="1">
      <alignment horizontal="right"/>
    </xf>
    <xf numFmtId="167" fontId="12" fillId="0" borderId="12" xfId="1" applyNumberFormat="1" applyFont="1" applyFill="1" applyBorder="1" applyAlignment="1">
      <alignment horizontal="right" indent="2"/>
    </xf>
    <xf numFmtId="167" fontId="12" fillId="0" borderId="0" xfId="1" applyNumberFormat="1" applyFont="1" applyFill="1" applyBorder="1" applyAlignment="1">
      <alignment horizontal="right" indent="2"/>
    </xf>
    <xf numFmtId="167" fontId="13" fillId="11" borderId="7" xfId="1" applyNumberFormat="1" applyFont="1" applyFill="1" applyBorder="1" applyAlignment="1">
      <alignment horizontal="right" indent="2"/>
    </xf>
    <xf numFmtId="167" fontId="12" fillId="0" borderId="12" xfId="1" applyNumberFormat="1" applyFont="1" applyBorder="1" applyAlignment="1">
      <alignment horizontal="right" indent="2"/>
    </xf>
    <xf numFmtId="167" fontId="12" fillId="0" borderId="0" xfId="1" applyNumberFormat="1" applyFont="1" applyBorder="1" applyAlignment="1">
      <alignment horizontal="right" indent="2"/>
    </xf>
    <xf numFmtId="167" fontId="12" fillId="11" borderId="19" xfId="1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23" fillId="0" borderId="7" xfId="1" applyNumberFormat="1" applyFont="1" applyBorder="1" applyAlignment="1">
      <alignment horizontal="right"/>
    </xf>
    <xf numFmtId="167" fontId="23" fillId="0" borderId="12" xfId="1" applyNumberFormat="1" applyFont="1" applyBorder="1" applyAlignment="1">
      <alignment horizontal="right"/>
    </xf>
    <xf numFmtId="167" fontId="13" fillId="0" borderId="0" xfId="1" applyNumberFormat="1" applyFont="1" applyFill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12" fillId="0" borderId="23" xfId="1" applyNumberFormat="1" applyFont="1" applyBorder="1" applyAlignment="1">
      <alignment horizontal="right"/>
    </xf>
    <xf numFmtId="167" fontId="13" fillId="0" borderId="0" xfId="1" applyNumberFormat="1" applyFont="1" applyBorder="1" applyAlignment="1">
      <alignment horizontal="right"/>
    </xf>
    <xf numFmtId="167" fontId="13" fillId="11" borderId="9" xfId="1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13" xfId="1" applyNumberFormat="1" applyFont="1" applyBorder="1" applyAlignment="1">
      <alignment horizontal="right"/>
    </xf>
    <xf numFmtId="167" fontId="12" fillId="11" borderId="10" xfId="1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10" borderId="0" xfId="0" applyNumberFormat="1" applyFont="1" applyFill="1" applyBorder="1" applyAlignment="1">
      <alignment horizontal="right"/>
    </xf>
    <xf numFmtId="167" fontId="13" fillId="0" borderId="20" xfId="1" applyNumberFormat="1" applyFont="1" applyFill="1" applyBorder="1" applyAlignment="1">
      <alignment horizontal="right"/>
    </xf>
    <xf numFmtId="167" fontId="13" fillId="0" borderId="11" xfId="0" applyNumberFormat="1" applyFont="1" applyBorder="1" applyAlignment="1">
      <alignment horizontal="right"/>
    </xf>
    <xf numFmtId="167" fontId="13" fillId="7" borderId="6" xfId="0" applyNumberFormat="1" applyFont="1" applyFill="1" applyBorder="1" applyAlignment="1">
      <alignment horizontal="right"/>
    </xf>
    <xf numFmtId="167" fontId="13" fillId="7" borderId="7" xfId="0" applyNumberFormat="1" applyFont="1" applyFill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7" borderId="7" xfId="0" applyNumberFormat="1" applyFont="1" applyFill="1" applyBorder="1" applyAlignment="1">
      <alignment horizontal="right"/>
    </xf>
    <xf numFmtId="167" fontId="12" fillId="7" borderId="7" xfId="1" applyNumberFormat="1" applyFont="1" applyFill="1" applyBorder="1" applyAlignment="1">
      <alignment horizontal="right"/>
    </xf>
    <xf numFmtId="167" fontId="12" fillId="0" borderId="22" xfId="1" applyNumberFormat="1" applyFont="1" applyBorder="1" applyAlignment="1">
      <alignment horizontal="right"/>
    </xf>
    <xf numFmtId="167" fontId="13" fillId="7" borderId="7" xfId="1" applyNumberFormat="1" applyFont="1" applyFill="1" applyBorder="1" applyAlignment="1">
      <alignment horizontal="right"/>
    </xf>
    <xf numFmtId="167" fontId="17" fillId="0" borderId="22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22" fillId="7" borderId="7" xfId="1" applyNumberFormat="1" applyFont="1" applyFill="1" applyBorder="1" applyAlignment="1">
      <alignment horizontal="right"/>
    </xf>
    <xf numFmtId="167" fontId="17" fillId="0" borderId="0" xfId="1" applyNumberFormat="1" applyFont="1" applyFill="1" applyBorder="1" applyAlignment="1">
      <alignment horizontal="right"/>
    </xf>
    <xf numFmtId="167" fontId="12" fillId="0" borderId="21" xfId="1" applyNumberFormat="1" applyFont="1" applyBorder="1" applyAlignment="1">
      <alignment horizontal="right"/>
    </xf>
    <xf numFmtId="167" fontId="13" fillId="7" borderId="19" xfId="1" applyNumberFormat="1" applyFont="1" applyFill="1" applyBorder="1" applyAlignment="1">
      <alignment horizontal="right"/>
    </xf>
    <xf numFmtId="167" fontId="17" fillId="0" borderId="12" xfId="1" applyNumberFormat="1" applyFont="1" applyBorder="1" applyAlignment="1">
      <alignment horizontal="right"/>
    </xf>
    <xf numFmtId="167" fontId="17" fillId="7" borderId="7" xfId="1" applyNumberFormat="1" applyFont="1" applyFill="1" applyBorder="1" applyAlignment="1">
      <alignment horizontal="right"/>
    </xf>
    <xf numFmtId="167" fontId="12" fillId="0" borderId="18" xfId="1" applyNumberFormat="1" applyFont="1" applyFill="1" applyBorder="1" applyAlignment="1">
      <alignment horizontal="right"/>
    </xf>
    <xf numFmtId="167" fontId="13" fillId="7" borderId="9" xfId="1" applyNumberFormat="1" applyFont="1" applyFill="1" applyBorder="1" applyAlignment="1">
      <alignment horizontal="right"/>
    </xf>
    <xf numFmtId="167" fontId="12" fillId="0" borderId="14" xfId="0" applyNumberFormat="1" applyFont="1" applyBorder="1" applyAlignment="1">
      <alignment horizontal="right"/>
    </xf>
    <xf numFmtId="167" fontId="12" fillId="0" borderId="13" xfId="0" applyNumberFormat="1" applyFont="1" applyBorder="1" applyAlignment="1">
      <alignment horizontal="right"/>
    </xf>
    <xf numFmtId="167" fontId="12" fillId="7" borderId="1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2" fillId="3" borderId="0" xfId="0" applyNumberFormat="1" applyFont="1" applyFill="1" applyBorder="1" applyAlignment="1">
      <alignment horizontal="right"/>
    </xf>
    <xf numFmtId="167" fontId="12" fillId="4" borderId="0" xfId="0" applyNumberFormat="1" applyFont="1" applyFill="1" applyBorder="1" applyAlignment="1">
      <alignment horizontal="right"/>
    </xf>
    <xf numFmtId="167" fontId="12" fillId="4" borderId="0" xfId="2" applyNumberFormat="1" applyFont="1" applyFill="1" applyBorder="1" applyAlignment="1">
      <alignment horizontal="right"/>
    </xf>
    <xf numFmtId="167" fontId="12" fillId="11" borderId="0" xfId="1" applyNumberFormat="1" applyFont="1" applyFill="1" applyBorder="1" applyAlignment="1">
      <alignment horizontal="right"/>
    </xf>
    <xf numFmtId="167" fontId="12" fillId="11" borderId="13" xfId="1" applyNumberFormat="1" applyFont="1" applyFill="1" applyBorder="1" applyAlignment="1">
      <alignment horizontal="right"/>
    </xf>
    <xf numFmtId="167" fontId="13" fillId="7" borderId="11" xfId="0" applyNumberFormat="1" applyFont="1" applyFill="1" applyBorder="1" applyAlignment="1">
      <alignment horizontal="right"/>
    </xf>
    <xf numFmtId="167" fontId="13" fillId="7" borderId="0" xfId="0" applyNumberFormat="1" applyFont="1" applyFill="1" applyBorder="1" applyAlignment="1">
      <alignment horizontal="right"/>
    </xf>
    <xf numFmtId="167" fontId="12" fillId="7" borderId="0" xfId="0" applyNumberFormat="1" applyFont="1" applyFill="1" applyBorder="1" applyAlignment="1">
      <alignment horizontal="right"/>
    </xf>
    <xf numFmtId="167" fontId="12" fillId="7" borderId="0" xfId="1" applyNumberFormat="1" applyFont="1" applyFill="1" applyBorder="1" applyAlignment="1">
      <alignment horizontal="right"/>
    </xf>
    <xf numFmtId="167" fontId="12" fillId="7" borderId="18" xfId="1" applyNumberFormat="1" applyFont="1" applyFill="1" applyBorder="1" applyAlignment="1">
      <alignment horizontal="right"/>
    </xf>
    <xf numFmtId="167" fontId="17" fillId="7" borderId="0" xfId="1" applyNumberFormat="1" applyFont="1" applyFill="1" applyBorder="1" applyAlignment="1">
      <alignment horizontal="right"/>
    </xf>
    <xf numFmtId="167" fontId="12" fillId="7" borderId="13" xfId="0" applyNumberFormat="1" applyFont="1" applyFill="1" applyBorder="1" applyAlignment="1">
      <alignment horizontal="right"/>
    </xf>
    <xf numFmtId="167" fontId="12" fillId="16" borderId="32" xfId="0" applyNumberFormat="1" applyFont="1" applyFill="1" applyBorder="1" applyAlignment="1">
      <alignment horizontal="right"/>
    </xf>
    <xf numFmtId="167" fontId="12" fillId="16" borderId="32" xfId="1" applyNumberFormat="1" applyFont="1" applyFill="1" applyBorder="1" applyAlignment="1">
      <alignment horizontal="right"/>
    </xf>
    <xf numFmtId="167" fontId="12" fillId="16" borderId="33" xfId="0" applyNumberFormat="1" applyFont="1" applyFill="1" applyBorder="1" applyAlignment="1">
      <alignment horizontal="right"/>
    </xf>
    <xf numFmtId="167" fontId="23" fillId="16" borderId="32" xfId="0" applyNumberFormat="1" applyFont="1" applyFill="1" applyBorder="1" applyAlignment="1">
      <alignment horizontal="right"/>
    </xf>
    <xf numFmtId="167" fontId="12" fillId="16" borderId="34" xfId="0" applyNumberFormat="1" applyFont="1" applyFill="1" applyBorder="1" applyAlignment="1">
      <alignment horizontal="right"/>
    </xf>
    <xf numFmtId="167" fontId="12" fillId="16" borderId="35" xfId="0" applyNumberFormat="1" applyFont="1" applyFill="1" applyBorder="1" applyAlignment="1">
      <alignment horizontal="right"/>
    </xf>
    <xf numFmtId="167" fontId="12" fillId="0" borderId="0" xfId="0" applyNumberFormat="1" applyFont="1" applyAlignment="1">
      <alignment horizontal="right"/>
    </xf>
    <xf numFmtId="167" fontId="13" fillId="16" borderId="31" xfId="0" applyNumberFormat="1" applyFont="1" applyFill="1" applyBorder="1" applyAlignment="1">
      <alignment horizontal="right"/>
    </xf>
    <xf numFmtId="167" fontId="13" fillId="16" borderId="32" xfId="0" applyNumberFormat="1" applyFont="1" applyFill="1" applyBorder="1" applyAlignment="1">
      <alignment horizontal="right"/>
    </xf>
    <xf numFmtId="167" fontId="12" fillId="16" borderId="33" xfId="1" applyNumberFormat="1" applyFont="1" applyFill="1" applyBorder="1" applyAlignment="1">
      <alignment horizontal="right"/>
    </xf>
    <xf numFmtId="168" fontId="12" fillId="11" borderId="12" xfId="3" applyNumberFormat="1" applyFont="1" applyFill="1" applyBorder="1" applyAlignment="1">
      <alignment horizontal="right"/>
    </xf>
    <xf numFmtId="168" fontId="12" fillId="11" borderId="12" xfId="1" applyNumberFormat="1" applyFont="1" applyFill="1" applyBorder="1" applyAlignment="1">
      <alignment horizontal="right"/>
    </xf>
    <xf numFmtId="168" fontId="12" fillId="11" borderId="14" xfId="1" applyNumberFormat="1" applyFont="1" applyFill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6" fillId="10" borderId="0" xfId="0" applyNumberFormat="1" applyFont="1" applyFill="1" applyBorder="1" applyAlignment="1">
      <alignment horizontal="right"/>
    </xf>
    <xf numFmtId="168" fontId="13" fillId="7" borderId="15" xfId="0" applyNumberFormat="1" applyFont="1" applyFill="1" applyBorder="1" applyAlignment="1">
      <alignment horizontal="right"/>
    </xf>
    <xf numFmtId="168" fontId="13" fillId="7" borderId="12" xfId="0" applyNumberFormat="1" applyFont="1" applyFill="1" applyBorder="1" applyAlignment="1">
      <alignment horizontal="right"/>
    </xf>
    <xf numFmtId="168" fontId="12" fillId="7" borderId="12" xfId="0" applyNumberFormat="1" applyFont="1" applyFill="1" applyBorder="1" applyAlignment="1">
      <alignment horizontal="right"/>
    </xf>
    <xf numFmtId="168" fontId="12" fillId="7" borderId="12" xfId="1" applyNumberFormat="1" applyFont="1" applyFill="1" applyBorder="1" applyAlignment="1">
      <alignment horizontal="right"/>
    </xf>
    <xf numFmtId="168" fontId="12" fillId="11" borderId="16" xfId="0" applyNumberFormat="1" applyFont="1" applyFill="1" applyBorder="1" applyAlignment="1">
      <alignment horizontal="right"/>
    </xf>
    <xf numFmtId="168" fontId="12" fillId="7" borderId="12" xfId="3" applyNumberFormat="1" applyFont="1" applyFill="1" applyBorder="1" applyAlignment="1">
      <alignment horizontal="right"/>
    </xf>
    <xf numFmtId="168" fontId="17" fillId="7" borderId="12" xfId="3" applyNumberFormat="1" applyFont="1" applyFill="1" applyBorder="1" applyAlignment="1">
      <alignment horizontal="right"/>
    </xf>
    <xf numFmtId="168" fontId="17" fillId="7" borderId="12" xfId="1" applyNumberFormat="1" applyFont="1" applyFill="1" applyBorder="1" applyAlignment="1">
      <alignment horizontal="right"/>
    </xf>
    <xf numFmtId="168" fontId="12" fillId="7" borderId="14" xfId="0" applyNumberFormat="1" applyFont="1" applyFill="1" applyBorder="1" applyAlignment="1">
      <alignment horizontal="right"/>
    </xf>
    <xf numFmtId="167" fontId="17" fillId="16" borderId="32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/>
    <xf numFmtId="0" fontId="7" fillId="0" borderId="0" xfId="0" applyFont="1"/>
    <xf numFmtId="43" fontId="25" fillId="0" borderId="0" xfId="0" applyNumberFormat="1" applyFont="1" applyAlignment="1">
      <alignment horizontal="right"/>
    </xf>
    <xf numFmtId="0" fontId="4" fillId="17" borderId="0" xfId="0" applyFont="1" applyFill="1"/>
    <xf numFmtId="43" fontId="4" fillId="17" borderId="0" xfId="0" applyNumberFormat="1" applyFont="1" applyFill="1" applyAlignment="1">
      <alignment horizontal="left"/>
    </xf>
    <xf numFmtId="0" fontId="4" fillId="17" borderId="0" xfId="0" applyFont="1" applyFill="1" applyAlignment="1">
      <alignment horizontal="right"/>
    </xf>
    <xf numFmtId="44" fontId="4" fillId="17" borderId="0" xfId="0" applyNumberFormat="1" applyFont="1" applyFill="1"/>
    <xf numFmtId="44" fontId="4" fillId="0" borderId="0" xfId="2" applyFont="1" applyBorder="1" applyAlignment="1">
      <alignment horizontal="right"/>
    </xf>
    <xf numFmtId="44" fontId="4" fillId="0" borderId="18" xfId="2" applyFont="1" applyBorder="1" applyAlignment="1">
      <alignment horizontal="right"/>
    </xf>
    <xf numFmtId="44" fontId="25" fillId="0" borderId="0" xfId="2" applyFont="1" applyAlignment="1">
      <alignment horizontal="right"/>
    </xf>
    <xf numFmtId="0" fontId="4" fillId="17" borderId="0" xfId="0" applyFont="1" applyFill="1" applyAlignment="1">
      <alignment horizontal="left"/>
    </xf>
    <xf numFmtId="0" fontId="4" fillId="8" borderId="0" xfId="0" applyFont="1" applyFill="1"/>
    <xf numFmtId="0" fontId="27" fillId="8" borderId="0" xfId="0" applyFont="1" applyFill="1"/>
    <xf numFmtId="0" fontId="8" fillId="8" borderId="0" xfId="0" applyFont="1" applyFill="1"/>
    <xf numFmtId="43" fontId="10" fillId="0" borderId="23" xfId="1" applyFont="1" applyFill="1" applyBorder="1"/>
    <xf numFmtId="44" fontId="10" fillId="0" borderId="23" xfId="0" applyNumberFormat="1" applyFont="1" applyFill="1" applyBorder="1"/>
    <xf numFmtId="44" fontId="4" fillId="0" borderId="0" xfId="2" applyFont="1" applyAlignment="1">
      <alignment horizontal="left"/>
    </xf>
    <xf numFmtId="0" fontId="4" fillId="0" borderId="0" xfId="0" applyFont="1" applyFill="1"/>
    <xf numFmtId="0" fontId="9" fillId="0" borderId="0" xfId="0" applyFont="1" applyFill="1"/>
    <xf numFmtId="10" fontId="4" fillId="0" borderId="0" xfId="0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44" fontId="4" fillId="0" borderId="0" xfId="3" applyNumberFormat="1" applyFont="1" applyAlignment="1">
      <alignment horizontal="center"/>
    </xf>
    <xf numFmtId="44" fontId="4" fillId="0" borderId="0" xfId="2" applyFont="1" applyBorder="1" applyAlignment="1">
      <alignment horizontal="left"/>
    </xf>
    <xf numFmtId="0" fontId="4" fillId="0" borderId="0" xfId="0" applyFont="1" applyBorder="1"/>
    <xf numFmtId="0" fontId="4" fillId="17" borderId="0" xfId="0" applyFont="1" applyFill="1" applyAlignment="1">
      <alignment horizontal="center"/>
    </xf>
    <xf numFmtId="44" fontId="10" fillId="0" borderId="23" xfId="2" applyFont="1" applyFill="1" applyBorder="1" applyAlignment="1">
      <alignment horizontal="right"/>
    </xf>
    <xf numFmtId="0" fontId="28" fillId="0" borderId="0" xfId="0" applyFont="1"/>
    <xf numFmtId="43" fontId="28" fillId="0" borderId="0" xfId="0" applyNumberFormat="1" applyFont="1"/>
    <xf numFmtId="0" fontId="9" fillId="3" borderId="0" xfId="0" applyFont="1" applyFill="1"/>
    <xf numFmtId="0" fontId="4" fillId="3" borderId="0" xfId="0" applyFont="1" applyFill="1"/>
    <xf numFmtId="44" fontId="28" fillId="0" borderId="0" xfId="2" applyFont="1"/>
    <xf numFmtId="0" fontId="27" fillId="3" borderId="0" xfId="0" applyFont="1" applyFill="1"/>
    <xf numFmtId="0" fontId="0" fillId="5" borderId="0" xfId="0" applyFill="1"/>
    <xf numFmtId="0" fontId="29" fillId="0" borderId="0" xfId="0" applyFont="1" applyFill="1"/>
    <xf numFmtId="43" fontId="29" fillId="0" borderId="0" xfId="0" applyNumberFormat="1" applyFont="1" applyFill="1"/>
    <xf numFmtId="167" fontId="13" fillId="11" borderId="7" xfId="0" applyNumberFormat="1" applyFont="1" applyFill="1" applyBorder="1"/>
    <xf numFmtId="43" fontId="12" fillId="16" borderId="32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0" fontId="30" fillId="0" borderId="18" xfId="0" applyNumberFormat="1" applyFont="1" applyBorder="1" applyAlignment="1">
      <alignment horizontal="center"/>
    </xf>
    <xf numFmtId="10" fontId="30" fillId="0" borderId="18" xfId="3" applyNumberFormat="1" applyFont="1" applyBorder="1" applyAlignment="1">
      <alignment horizontal="center"/>
    </xf>
    <xf numFmtId="44" fontId="30" fillId="0" borderId="18" xfId="3" applyNumberFormat="1" applyFont="1" applyBorder="1" applyAlignment="1">
      <alignment horizontal="center"/>
    </xf>
    <xf numFmtId="44" fontId="4" fillId="0" borderId="0" xfId="2" applyFont="1" applyAlignment="1">
      <alignment horizontal="center"/>
    </xf>
    <xf numFmtId="44" fontId="30" fillId="0" borderId="18" xfId="2" applyFont="1" applyBorder="1"/>
    <xf numFmtId="43" fontId="4" fillId="0" borderId="0" xfId="1" applyFont="1" applyBorder="1" applyAlignment="1">
      <alignment horizontal="right"/>
    </xf>
    <xf numFmtId="0" fontId="30" fillId="0" borderId="18" xfId="0" applyFont="1" applyBorder="1"/>
    <xf numFmtId="43" fontId="30" fillId="0" borderId="18" xfId="1" applyFont="1" applyBorder="1" applyAlignment="1">
      <alignment horizontal="right"/>
    </xf>
    <xf numFmtId="0" fontId="30" fillId="0" borderId="18" xfId="0" applyFont="1" applyBorder="1" applyAlignment="1">
      <alignment horizontal="right"/>
    </xf>
    <xf numFmtId="43" fontId="12" fillId="0" borderId="0" xfId="0" applyNumberFormat="1" applyFont="1"/>
    <xf numFmtId="44" fontId="4" fillId="0" borderId="0" xfId="0" applyNumberFormat="1" applyFont="1"/>
    <xf numFmtId="0" fontId="17" fillId="0" borderId="0" xfId="0" applyFont="1" applyAlignment="1">
      <alignment horizontal="right"/>
    </xf>
    <xf numFmtId="168" fontId="17" fillId="0" borderId="0" xfId="3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43" fontId="17" fillId="0" borderId="0" xfId="1" applyFont="1" applyBorder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2" fillId="0" borderId="0" xfId="3" applyNumberFormat="1" applyFont="1"/>
    <xf numFmtId="168" fontId="17" fillId="0" borderId="0" xfId="3" applyNumberFormat="1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17</xdr:col>
      <xdr:colOff>0</xdr:colOff>
      <xdr:row>2</xdr:row>
      <xdr:rowOff>10583</xdr:rowOff>
    </xdr:to>
    <xdr:cxnSp macro="">
      <xdr:nvCxnSpPr>
        <xdr:cNvPr id="12" name="Straight Connector 11"/>
        <xdr:cNvCxnSpPr/>
      </xdr:nvCxnSpPr>
      <xdr:spPr>
        <a:xfrm>
          <a:off x="2202554" y="275167"/>
          <a:ext cx="6645113" cy="10583"/>
        </a:xfrm>
        <a:prstGeom prst="line">
          <a:avLst/>
        </a:prstGeom>
        <a:ln w="28575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5292</xdr:colOff>
      <xdr:row>1</xdr:row>
      <xdr:rowOff>22679</xdr:rowOff>
    </xdr:from>
    <xdr:to>
      <xdr:col>19</xdr:col>
      <xdr:colOff>835269</xdr:colOff>
      <xdr:row>3</xdr:row>
      <xdr:rowOff>168519</xdr:rowOff>
    </xdr:to>
    <xdr:sp macro="" textlink="">
      <xdr:nvSpPr>
        <xdr:cNvPr id="6" name="Rectangle 5"/>
        <xdr:cNvSpPr/>
      </xdr:nvSpPr>
      <xdr:spPr>
        <a:xfrm>
          <a:off x="5292" y="30006"/>
          <a:ext cx="11761746" cy="65139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400" b="1"/>
            <a:t>                 </a:t>
          </a:r>
          <a:r>
            <a:rPr lang="en-US" sz="1400" b="1" baseline="0"/>
            <a:t> </a:t>
          </a:r>
          <a:r>
            <a:rPr lang="en-US" sz="1400" b="1">
              <a:latin typeface="Arial Black" panose="020B0A04020102020204" pitchFamily="34" charset="0"/>
            </a:rPr>
            <a:t>MARIN LOCAL AGENCY</a:t>
          </a:r>
          <a:r>
            <a:rPr lang="en-US" sz="1400" b="1" baseline="0">
              <a:latin typeface="Arial Black" panose="020B0A04020102020204" pitchFamily="34" charset="0"/>
            </a:rPr>
            <a:t> FORMATION COMMISSION </a:t>
          </a:r>
        </a:p>
        <a:p>
          <a:pPr algn="l"/>
          <a:r>
            <a:rPr lang="en-US" sz="1400" b="0" baseline="0"/>
            <a:t>                  Regional Service Planning | State of California </a:t>
          </a:r>
          <a:endParaRPr lang="en-US" sz="1400" b="0"/>
        </a:p>
      </xdr:txBody>
    </xdr:sp>
    <xdr:clientData/>
  </xdr:twoCellAnchor>
  <xdr:twoCellAnchor>
    <xdr:from>
      <xdr:col>1</xdr:col>
      <xdr:colOff>289832</xdr:colOff>
      <xdr:row>2</xdr:row>
      <xdr:rowOff>76201</xdr:rowOff>
    </xdr:from>
    <xdr:to>
      <xdr:col>19</xdr:col>
      <xdr:colOff>835269</xdr:colOff>
      <xdr:row>2</xdr:row>
      <xdr:rowOff>84609</xdr:rowOff>
    </xdr:to>
    <xdr:cxnSp macro="">
      <xdr:nvCxnSpPr>
        <xdr:cNvPr id="8" name="Straight Connector 7"/>
        <xdr:cNvCxnSpPr>
          <a:endCxn id="6" idx="3"/>
        </xdr:cNvCxnSpPr>
      </xdr:nvCxnSpPr>
      <xdr:spPr>
        <a:xfrm>
          <a:off x="824697" y="347297"/>
          <a:ext cx="10942341" cy="8408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69081</xdr:colOff>
      <xdr:row>1</xdr:row>
      <xdr:rowOff>76931</xdr:rowOff>
    </xdr:from>
    <xdr:to>
      <xdr:col>1</xdr:col>
      <xdr:colOff>168213</xdr:colOff>
      <xdr:row>3</xdr:row>
      <xdr:rowOff>110950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1" y="84258"/>
          <a:ext cx="585640" cy="53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141"/>
  <sheetViews>
    <sheetView tabSelected="1" zoomScale="110" zoomScaleNormal="110" zoomScaleSheetLayoutView="110" workbookViewId="0">
      <selection activeCell="J99" sqref="J99"/>
    </sheetView>
  </sheetViews>
  <sheetFormatPr defaultColWidth="9.140625" defaultRowHeight="11.25" x14ac:dyDescent="0.2"/>
  <cols>
    <col min="1" max="1" width="7.28515625" style="25" customWidth="1"/>
    <col min="2" max="2" width="25.85546875" style="25" customWidth="1"/>
    <col min="3" max="3" width="0.7109375" style="26" customWidth="1"/>
    <col min="4" max="4" width="9.7109375" style="27" bestFit="1" customWidth="1"/>
    <col min="5" max="5" width="9.85546875" style="27" customWidth="1"/>
    <col min="6" max="6" width="0.85546875" style="27" customWidth="1"/>
    <col min="7" max="7" width="9.7109375" style="26" bestFit="1" customWidth="1"/>
    <col min="8" max="8" width="10.140625" style="25" customWidth="1"/>
    <col min="9" max="9" width="0.85546875" style="28" customWidth="1"/>
    <col min="10" max="10" width="9.7109375" style="28" bestFit="1" customWidth="1"/>
    <col min="11" max="11" width="9.85546875" style="28" customWidth="1"/>
    <col min="12" max="12" width="11.28515625" style="28" customWidth="1"/>
    <col min="13" max="13" width="0.85546875" style="28" customWidth="1"/>
    <col min="14" max="14" width="10" style="28" customWidth="1"/>
    <col min="15" max="15" width="1.5703125" style="28" customWidth="1"/>
    <col min="16" max="16" width="8.140625" style="28" customWidth="1"/>
    <col min="17" max="17" width="8.140625" style="28" bestFit="1" customWidth="1"/>
    <col min="18" max="18" width="0.7109375" style="25" customWidth="1"/>
    <col min="19" max="19" width="0.42578125" style="25" customWidth="1"/>
    <col min="20" max="20" width="11.5703125" style="25" bestFit="1" customWidth="1"/>
    <col min="21" max="21" width="12" style="25" bestFit="1" customWidth="1"/>
    <col min="22" max="23" width="11" style="25" bestFit="1" customWidth="1"/>
    <col min="24" max="24" width="12" style="25" bestFit="1" customWidth="1"/>
    <col min="25" max="28" width="9.140625" style="25"/>
    <col min="29" max="29" width="23" style="25" customWidth="1"/>
    <col min="30" max="32" width="12.28515625" style="25" bestFit="1" customWidth="1"/>
    <col min="33" max="16384" width="9.140625" style="25"/>
  </cols>
  <sheetData>
    <row r="1" spans="1:20" ht="0.75" customHeight="1" x14ac:dyDescent="0.2"/>
    <row r="2" spans="1:20" ht="21" x14ac:dyDescent="0.35">
      <c r="B2" s="30" t="s">
        <v>32</v>
      </c>
      <c r="F2" s="31"/>
      <c r="S2" s="32"/>
    </row>
    <row r="3" spans="1:20" ht="18.75" x14ac:dyDescent="0.3">
      <c r="B3" s="33" t="s">
        <v>33</v>
      </c>
      <c r="F3" s="31"/>
      <c r="S3" s="32"/>
    </row>
    <row r="4" spans="1:20" ht="14.25" customHeight="1" x14ac:dyDescent="0.2">
      <c r="B4" s="34"/>
      <c r="F4" s="31"/>
      <c r="S4" s="35"/>
    </row>
    <row r="5" spans="1:20" ht="4.5" customHeight="1" x14ac:dyDescent="0.2">
      <c r="B5" s="34"/>
      <c r="F5" s="31"/>
      <c r="S5" s="35"/>
    </row>
    <row r="6" spans="1:20" ht="15.75" x14ac:dyDescent="0.25">
      <c r="A6" s="36" t="s">
        <v>30</v>
      </c>
      <c r="B6" s="37"/>
      <c r="C6" s="31"/>
      <c r="D6" s="38"/>
      <c r="E6" s="39" t="s">
        <v>35</v>
      </c>
      <c r="F6" s="311"/>
      <c r="G6" s="38"/>
      <c r="H6" s="39" t="s">
        <v>37</v>
      </c>
      <c r="I6" s="40"/>
      <c r="J6" s="38"/>
      <c r="K6" s="38"/>
      <c r="L6" s="39" t="s">
        <v>41</v>
      </c>
      <c r="M6" s="40"/>
      <c r="N6" s="99"/>
      <c r="O6" s="99"/>
      <c r="P6" s="99"/>
      <c r="Q6" s="99" t="s">
        <v>48</v>
      </c>
      <c r="R6" s="1"/>
      <c r="S6" s="312"/>
      <c r="T6" s="99" t="s">
        <v>195</v>
      </c>
    </row>
    <row r="7" spans="1:20" ht="3.75" customHeight="1" thickBot="1" x14ac:dyDescent="0.25">
      <c r="A7" s="34"/>
      <c r="C7" s="41"/>
      <c r="D7" s="41"/>
      <c r="F7" s="31"/>
      <c r="G7" s="41"/>
      <c r="H7" s="41"/>
      <c r="I7" s="42"/>
      <c r="J7" s="41"/>
      <c r="K7" s="41"/>
      <c r="L7" s="41"/>
      <c r="M7" s="41"/>
      <c r="N7" s="41"/>
      <c r="O7" s="41"/>
      <c r="P7" s="41"/>
      <c r="Q7" s="41"/>
      <c r="T7" s="26"/>
    </row>
    <row r="8" spans="1:20" x14ac:dyDescent="0.2">
      <c r="C8" s="41"/>
      <c r="D8" s="43" t="s">
        <v>13</v>
      </c>
      <c r="E8" s="44" t="s">
        <v>43</v>
      </c>
      <c r="F8" s="41"/>
      <c r="G8" s="43" t="s">
        <v>13</v>
      </c>
      <c r="H8" s="44" t="s">
        <v>43</v>
      </c>
      <c r="I8" s="45"/>
      <c r="J8" s="43" t="s">
        <v>13</v>
      </c>
      <c r="K8" s="132" t="s">
        <v>163</v>
      </c>
      <c r="L8" s="44" t="s">
        <v>45</v>
      </c>
      <c r="M8" s="41"/>
      <c r="N8" s="106" t="s">
        <v>238</v>
      </c>
      <c r="O8" s="107"/>
      <c r="P8" s="107"/>
      <c r="Q8" s="108"/>
      <c r="T8" s="184" t="s">
        <v>199</v>
      </c>
    </row>
    <row r="9" spans="1:20" ht="12" customHeight="1" x14ac:dyDescent="0.2">
      <c r="C9" s="41"/>
      <c r="D9" s="46" t="s">
        <v>34</v>
      </c>
      <c r="E9" s="47" t="s">
        <v>34</v>
      </c>
      <c r="F9" s="41"/>
      <c r="G9" s="46" t="s">
        <v>40</v>
      </c>
      <c r="H9" s="47" t="s">
        <v>40</v>
      </c>
      <c r="I9" s="45"/>
      <c r="J9" s="46" t="s">
        <v>42</v>
      </c>
      <c r="K9" s="41" t="s">
        <v>42</v>
      </c>
      <c r="L9" s="47" t="s">
        <v>42</v>
      </c>
      <c r="M9" s="41"/>
      <c r="N9" s="109" t="s">
        <v>46</v>
      </c>
      <c r="O9" s="110"/>
      <c r="P9" s="110"/>
      <c r="Q9" s="111"/>
      <c r="T9" s="185" t="s">
        <v>194</v>
      </c>
    </row>
    <row r="10" spans="1:20" ht="15" x14ac:dyDescent="0.25">
      <c r="A10" s="126" t="s">
        <v>20</v>
      </c>
      <c r="C10" s="31"/>
      <c r="D10" s="48"/>
      <c r="E10" s="49"/>
      <c r="F10" s="41"/>
      <c r="G10" s="48"/>
      <c r="H10" s="50"/>
      <c r="I10" s="51"/>
      <c r="J10" s="48"/>
      <c r="K10" s="31"/>
      <c r="L10" s="50"/>
      <c r="M10" s="31"/>
      <c r="N10" s="112"/>
      <c r="O10" s="113"/>
      <c r="P10" s="113"/>
      <c r="Q10" s="114"/>
      <c r="T10" s="186"/>
    </row>
    <row r="11" spans="1:20" ht="3.75" customHeight="1" x14ac:dyDescent="0.2">
      <c r="A11" s="34"/>
      <c r="C11" s="31"/>
      <c r="D11" s="48"/>
      <c r="E11" s="47"/>
      <c r="F11" s="41"/>
      <c r="G11" s="48"/>
      <c r="H11" s="50"/>
      <c r="I11" s="51"/>
      <c r="J11" s="48"/>
      <c r="K11" s="31"/>
      <c r="L11" s="50"/>
      <c r="M11" s="31"/>
      <c r="N11" s="112"/>
      <c r="O11" s="113"/>
      <c r="P11" s="113"/>
      <c r="Q11" s="114"/>
      <c r="T11" s="186"/>
    </row>
    <row r="12" spans="1:20" x14ac:dyDescent="0.2">
      <c r="A12" s="53" t="s">
        <v>4</v>
      </c>
      <c r="B12" s="53" t="s">
        <v>5</v>
      </c>
      <c r="C12" s="31"/>
      <c r="D12" s="48"/>
      <c r="E12" s="47"/>
      <c r="F12" s="31"/>
      <c r="G12" s="48"/>
      <c r="H12" s="50"/>
      <c r="I12" s="51"/>
      <c r="J12" s="48"/>
      <c r="K12" s="31"/>
      <c r="L12" s="50"/>
      <c r="M12" s="31"/>
      <c r="N12" s="112"/>
      <c r="O12" s="113"/>
      <c r="P12" s="118"/>
      <c r="Q12" s="119" t="s">
        <v>47</v>
      </c>
      <c r="T12" s="186"/>
    </row>
    <row r="13" spans="1:20" x14ac:dyDescent="0.2">
      <c r="A13" s="29">
        <v>5110110</v>
      </c>
      <c r="B13" s="25" t="s">
        <v>200</v>
      </c>
      <c r="C13" s="54"/>
      <c r="D13" s="187">
        <v>189883.89</v>
      </c>
      <c r="E13" s="188">
        <v>179671.82</v>
      </c>
      <c r="F13" s="55"/>
      <c r="G13" s="187">
        <v>246687.85</v>
      </c>
      <c r="H13" s="220">
        <v>241698.82</v>
      </c>
      <c r="I13" s="224"/>
      <c r="J13" s="187">
        <v>281111.02</v>
      </c>
      <c r="K13" s="206">
        <v>258111.02</v>
      </c>
      <c r="L13" s="220">
        <v>218345.16999999998</v>
      </c>
      <c r="M13" s="206"/>
      <c r="N13" s="225">
        <f>'Payroll '!B29</f>
        <v>282079.136</v>
      </c>
      <c r="O13" s="116"/>
      <c r="P13" s="277">
        <f>SUM(N13-J13)</f>
        <v>968.11599999997998</v>
      </c>
      <c r="Q13" s="296">
        <f>SUM(P13/J13)</f>
        <v>3.443892025292996E-3</v>
      </c>
      <c r="T13" s="348">
        <f>SUM((N13)+(N13*3%))</f>
        <v>290541.51007999998</v>
      </c>
    </row>
    <row r="14" spans="1:20" x14ac:dyDescent="0.2">
      <c r="A14" s="29">
        <v>5130510</v>
      </c>
      <c r="B14" s="25" t="s">
        <v>161</v>
      </c>
      <c r="C14" s="54"/>
      <c r="D14" s="187">
        <v>51792.54</v>
      </c>
      <c r="E14" s="188">
        <v>45257.81</v>
      </c>
      <c r="F14" s="57"/>
      <c r="G14" s="187">
        <v>61990.2</v>
      </c>
      <c r="H14" s="220">
        <v>59729.78</v>
      </c>
      <c r="I14" s="224"/>
      <c r="J14" s="187">
        <v>63852.41</v>
      </c>
      <c r="K14" s="206">
        <v>57852.41</v>
      </c>
      <c r="L14" s="220">
        <v>45560.165999999997</v>
      </c>
      <c r="M14" s="206"/>
      <c r="N14" s="225">
        <f>'Payroll '!F8</f>
        <v>37561.066546400005</v>
      </c>
      <c r="O14" s="116"/>
      <c r="P14" s="277">
        <f t="shared" ref="P14:P20" si="0">SUM(N14-J14)</f>
        <v>-26291.343453599999</v>
      </c>
      <c r="Q14" s="296">
        <f t="shared" ref="Q14:Q20" si="1">SUM(P14/J14)</f>
        <v>-0.41175177966814402</v>
      </c>
      <c r="T14" s="348">
        <f>SUM((N14)+(N14*3%))</f>
        <v>38687.898542792005</v>
      </c>
    </row>
    <row r="15" spans="1:20" x14ac:dyDescent="0.2">
      <c r="A15" s="29">
        <v>5140125</v>
      </c>
      <c r="B15" s="25" t="s">
        <v>162</v>
      </c>
      <c r="C15" s="54"/>
      <c r="D15" s="187">
        <v>16888.330000000002</v>
      </c>
      <c r="E15" s="188">
        <v>15486.14</v>
      </c>
      <c r="F15" s="57"/>
      <c r="G15" s="187">
        <v>25442.65</v>
      </c>
      <c r="H15" s="220">
        <v>25980.43</v>
      </c>
      <c r="I15" s="224"/>
      <c r="J15" s="187">
        <v>26867.395100000002</v>
      </c>
      <c r="K15" s="206">
        <v>26867.395100000002</v>
      </c>
      <c r="L15" s="220">
        <v>22209.99</v>
      </c>
      <c r="M15" s="206"/>
      <c r="N15" s="225">
        <f>'Payroll '!F50</f>
        <v>32312.6492</v>
      </c>
      <c r="O15" s="116"/>
      <c r="P15" s="277">
        <f t="shared" si="0"/>
        <v>5445.2540999999983</v>
      </c>
      <c r="Q15" s="296">
        <f t="shared" si="1"/>
        <v>0.20267145660131369</v>
      </c>
      <c r="T15" s="348">
        <f>SUM((N15)+(N15*1.5%))</f>
        <v>32797.338938000001</v>
      </c>
    </row>
    <row r="16" spans="1:20" x14ac:dyDescent="0.2">
      <c r="A16" s="29">
        <v>5140141</v>
      </c>
      <c r="B16" s="25" t="s">
        <v>54</v>
      </c>
      <c r="C16" s="54"/>
      <c r="D16" s="187">
        <v>2518.41</v>
      </c>
      <c r="E16" s="188">
        <v>2703.51</v>
      </c>
      <c r="F16" s="57"/>
      <c r="G16" s="187">
        <v>3692.97</v>
      </c>
      <c r="H16" s="220">
        <v>4270.25</v>
      </c>
      <c r="I16" s="224"/>
      <c r="J16" s="187">
        <v>4020.1035342</v>
      </c>
      <c r="K16" s="206">
        <v>4020.1035342</v>
      </c>
      <c r="L16" s="220">
        <v>5152.5463999999993</v>
      </c>
      <c r="M16" s="206"/>
      <c r="N16" s="225">
        <f>'Payroll '!F23</f>
        <v>3887.4577720000007</v>
      </c>
      <c r="O16" s="116"/>
      <c r="P16" s="277">
        <f t="shared" si="0"/>
        <v>-132.64576219999935</v>
      </c>
      <c r="Q16" s="296">
        <f t="shared" si="1"/>
        <v>-3.2995608464197385E-2</v>
      </c>
      <c r="T16" s="348">
        <f>SUM(T13*1.5%)</f>
        <v>4358.1226511999994</v>
      </c>
    </row>
    <row r="17" spans="1:20" x14ac:dyDescent="0.2">
      <c r="A17" s="29">
        <v>5140115</v>
      </c>
      <c r="B17" s="25" t="s">
        <v>1</v>
      </c>
      <c r="C17" s="54"/>
      <c r="D17" s="187">
        <v>736</v>
      </c>
      <c r="E17" s="188">
        <v>791.82</v>
      </c>
      <c r="F17" s="57"/>
      <c r="G17" s="187">
        <v>742</v>
      </c>
      <c r="H17" s="220">
        <v>1064.0999999999999</v>
      </c>
      <c r="I17" s="224"/>
      <c r="J17" s="187">
        <v>960</v>
      </c>
      <c r="K17" s="206">
        <v>960</v>
      </c>
      <c r="L17" s="220">
        <v>1730.51</v>
      </c>
      <c r="M17" s="206"/>
      <c r="N17" s="225">
        <f>'Payroll '!F30</f>
        <v>1744.21</v>
      </c>
      <c r="O17" s="116"/>
      <c r="P17" s="277">
        <f t="shared" si="0"/>
        <v>784.21</v>
      </c>
      <c r="Q17" s="296">
        <f t="shared" si="1"/>
        <v>0.8168854166666667</v>
      </c>
      <c r="T17" s="286">
        <f>SUM((N17)+(N17*1.5%))</f>
        <v>1770.3731500000001</v>
      </c>
    </row>
    <row r="18" spans="1:20" x14ac:dyDescent="0.2">
      <c r="A18" s="29">
        <v>5140145</v>
      </c>
      <c r="B18" s="25" t="s">
        <v>17</v>
      </c>
      <c r="C18" s="54"/>
      <c r="D18" s="187">
        <v>868</v>
      </c>
      <c r="E18" s="188">
        <v>1214.6600000000001</v>
      </c>
      <c r="F18" s="57"/>
      <c r="G18" s="187">
        <v>868</v>
      </c>
      <c r="H18" s="220">
        <v>2234.2399999999998</v>
      </c>
      <c r="I18" s="224"/>
      <c r="J18" s="187">
        <v>6290.4</v>
      </c>
      <c r="K18" s="206">
        <v>6290.4</v>
      </c>
      <c r="L18" s="220">
        <v>3500</v>
      </c>
      <c r="M18" s="206"/>
      <c r="N18" s="225">
        <f>'Payroll '!F38</f>
        <v>3605</v>
      </c>
      <c r="O18" s="116"/>
      <c r="P18" s="277">
        <f t="shared" si="0"/>
        <v>-2685.3999999999996</v>
      </c>
      <c r="Q18" s="296">
        <f t="shared" si="1"/>
        <v>-0.42690448938064351</v>
      </c>
      <c r="T18" s="287">
        <f>N18</f>
        <v>3605</v>
      </c>
    </row>
    <row r="19" spans="1:20" x14ac:dyDescent="0.2">
      <c r="A19" s="58">
        <v>5130525</v>
      </c>
      <c r="B19" s="28" t="s">
        <v>237</v>
      </c>
      <c r="C19" s="59"/>
      <c r="D19" s="189">
        <v>16798.34</v>
      </c>
      <c r="E19" s="190">
        <v>24897.94</v>
      </c>
      <c r="F19" s="57"/>
      <c r="G19" s="189">
        <v>14880</v>
      </c>
      <c r="H19" s="226">
        <v>13480.93</v>
      </c>
      <c r="I19" s="224"/>
      <c r="J19" s="189">
        <v>15615</v>
      </c>
      <c r="K19" s="224">
        <v>15615</v>
      </c>
      <c r="L19" s="226">
        <v>15615</v>
      </c>
      <c r="M19" s="224"/>
      <c r="N19" s="225">
        <f>'2017-2018'!L19</f>
        <v>15615</v>
      </c>
      <c r="O19" s="116"/>
      <c r="P19" s="277">
        <f t="shared" si="0"/>
        <v>0</v>
      </c>
      <c r="Q19" s="296">
        <f t="shared" si="1"/>
        <v>0</v>
      </c>
      <c r="T19" s="286">
        <f>SUM(N19)</f>
        <v>15615</v>
      </c>
    </row>
    <row r="20" spans="1:20" x14ac:dyDescent="0.2">
      <c r="B20" s="26"/>
      <c r="C20" s="54"/>
      <c r="D20" s="191">
        <f>SUM(D13:D19)</f>
        <v>279485.51000000007</v>
      </c>
      <c r="E20" s="192">
        <f>SUM(E13:E19)</f>
        <v>270023.7</v>
      </c>
      <c r="F20" s="57"/>
      <c r="G20" s="191">
        <f>SUM(G13:G19)</f>
        <v>354303.67</v>
      </c>
      <c r="H20" s="201">
        <f>SUM(H13:H19)</f>
        <v>348458.54999999993</v>
      </c>
      <c r="I20" s="224"/>
      <c r="J20" s="200">
        <f>SUM(J13:J19)</f>
        <v>398716.32863420009</v>
      </c>
      <c r="K20" s="227">
        <v>369716.32863420004</v>
      </c>
      <c r="L20" s="201">
        <f>SUM(L13:L19)</f>
        <v>312113.3824</v>
      </c>
      <c r="M20" s="206"/>
      <c r="N20" s="228">
        <f>SUM(N13:N19)</f>
        <v>376804.51951840002</v>
      </c>
      <c r="O20" s="116"/>
      <c r="P20" s="277">
        <f t="shared" si="0"/>
        <v>-21911.809115800075</v>
      </c>
      <c r="Q20" s="296">
        <f t="shared" si="1"/>
        <v>-5.4955886032706056E-2</v>
      </c>
      <c r="T20" s="288">
        <f>SUM(T13:T19)</f>
        <v>387375.243361992</v>
      </c>
    </row>
    <row r="21" spans="1:20" x14ac:dyDescent="0.2">
      <c r="C21" s="61"/>
      <c r="D21" s="187"/>
      <c r="E21" s="193"/>
      <c r="F21" s="61"/>
      <c r="G21" s="187"/>
      <c r="H21" s="220"/>
      <c r="I21" s="229"/>
      <c r="J21" s="187"/>
      <c r="K21" s="206"/>
      <c r="L21" s="220"/>
      <c r="M21" s="206"/>
      <c r="N21" s="230"/>
      <c r="O21" s="115"/>
      <c r="P21" s="277"/>
      <c r="Q21" s="297"/>
      <c r="T21" s="286"/>
    </row>
    <row r="22" spans="1:20" ht="15" x14ac:dyDescent="0.25">
      <c r="A22" s="126" t="s">
        <v>231</v>
      </c>
      <c r="C22" s="54"/>
      <c r="D22" s="187"/>
      <c r="E22" s="193"/>
      <c r="F22" s="56"/>
      <c r="G22" s="187"/>
      <c r="H22" s="220"/>
      <c r="I22" s="229"/>
      <c r="J22" s="187"/>
      <c r="K22" s="206"/>
      <c r="L22" s="220"/>
      <c r="M22" s="206"/>
      <c r="N22" s="230"/>
      <c r="O22" s="115"/>
      <c r="P22" s="277"/>
      <c r="Q22" s="297"/>
      <c r="T22" s="286"/>
    </row>
    <row r="23" spans="1:20" ht="3" customHeight="1" x14ac:dyDescent="0.2">
      <c r="C23" s="54"/>
      <c r="D23" s="187"/>
      <c r="E23" s="193"/>
      <c r="F23" s="56"/>
      <c r="G23" s="187"/>
      <c r="H23" s="220"/>
      <c r="I23" s="229"/>
      <c r="J23" s="187"/>
      <c r="K23" s="206"/>
      <c r="L23" s="220"/>
      <c r="M23" s="206"/>
      <c r="N23" s="230"/>
      <c r="O23" s="115"/>
      <c r="P23" s="277"/>
      <c r="Q23" s="297"/>
      <c r="T23" s="286"/>
    </row>
    <row r="24" spans="1:20" x14ac:dyDescent="0.2">
      <c r="A24" s="53" t="s">
        <v>0</v>
      </c>
      <c r="B24" s="53" t="s">
        <v>5</v>
      </c>
      <c r="C24" s="54"/>
      <c r="D24" s="187"/>
      <c r="E24" s="193"/>
      <c r="F24" s="63"/>
      <c r="G24" s="187"/>
      <c r="H24" s="220"/>
      <c r="I24" s="229"/>
      <c r="J24" s="187"/>
      <c r="K24" s="206"/>
      <c r="L24" s="220"/>
      <c r="M24" s="206"/>
      <c r="N24" s="230"/>
      <c r="O24" s="115"/>
      <c r="P24" s="277"/>
      <c r="Q24" s="297"/>
      <c r="T24" s="286"/>
    </row>
    <row r="25" spans="1:20" s="28" customFormat="1" x14ac:dyDescent="0.2">
      <c r="A25" s="64">
        <v>5210110</v>
      </c>
      <c r="B25" s="64" t="s">
        <v>18</v>
      </c>
      <c r="C25" s="59"/>
      <c r="D25" s="194">
        <v>5800</v>
      </c>
      <c r="E25" s="190">
        <v>17183</v>
      </c>
      <c r="F25" s="65"/>
      <c r="G25" s="194">
        <v>15255</v>
      </c>
      <c r="H25" s="231">
        <f>8780.54+7012.89</f>
        <v>15793.43</v>
      </c>
      <c r="I25" s="229"/>
      <c r="J25" s="194">
        <v>15020</v>
      </c>
      <c r="K25" s="232">
        <v>15020</v>
      </c>
      <c r="L25" s="231">
        <v>19431.03</v>
      </c>
      <c r="M25" s="232"/>
      <c r="N25" s="233">
        <f>Administrative!C14</f>
        <v>26180</v>
      </c>
      <c r="O25" s="120"/>
      <c r="P25" s="277">
        <f>SUM(N25-J25)</f>
        <v>11160</v>
      </c>
      <c r="Q25" s="296">
        <f t="shared" ref="Q25:Q31" si="2">SUM(P25/J25)</f>
        <v>0.74300932090545935</v>
      </c>
      <c r="T25" s="286">
        <f>SUM(N25+1000)</f>
        <v>27180</v>
      </c>
    </row>
    <row r="26" spans="1:20" s="28" customFormat="1" x14ac:dyDescent="0.2">
      <c r="A26" s="64">
        <v>5210131</v>
      </c>
      <c r="B26" s="64" t="s">
        <v>3</v>
      </c>
      <c r="C26" s="59"/>
      <c r="D26" s="194">
        <v>14196.23</v>
      </c>
      <c r="E26" s="190">
        <v>2477.21</v>
      </c>
      <c r="F26" s="65"/>
      <c r="G26" s="194">
        <v>10075</v>
      </c>
      <c r="H26" s="231">
        <v>10045.280000000001</v>
      </c>
      <c r="I26" s="224"/>
      <c r="J26" s="194">
        <v>10578.75</v>
      </c>
      <c r="K26" s="232">
        <v>39578.75</v>
      </c>
      <c r="L26" s="231">
        <v>51213.78</v>
      </c>
      <c r="M26" s="232"/>
      <c r="N26" s="233">
        <f>Administrative!D23</f>
        <v>35880</v>
      </c>
      <c r="O26" s="120"/>
      <c r="P26" s="277">
        <f t="shared" ref="P26:P30" si="3">SUM(N26-J26)</f>
        <v>25301.25</v>
      </c>
      <c r="Q26" s="296">
        <f t="shared" si="2"/>
        <v>2.3917050691244239</v>
      </c>
      <c r="T26" s="286">
        <f>N26+1000</f>
        <v>36880</v>
      </c>
    </row>
    <row r="27" spans="1:20" s="28" customFormat="1" ht="12.75" customHeight="1" x14ac:dyDescent="0.2">
      <c r="A27" s="64">
        <v>5210230</v>
      </c>
      <c r="B27" s="64" t="s">
        <v>153</v>
      </c>
      <c r="C27" s="59"/>
      <c r="D27" s="194">
        <v>8000</v>
      </c>
      <c r="E27" s="190">
        <v>0</v>
      </c>
      <c r="F27" s="65"/>
      <c r="G27" s="194">
        <v>4925</v>
      </c>
      <c r="H27" s="231">
        <v>1200</v>
      </c>
      <c r="I27" s="224"/>
      <c r="J27" s="194">
        <v>6125</v>
      </c>
      <c r="K27" s="232">
        <v>6125</v>
      </c>
      <c r="L27" s="231">
        <v>9125</v>
      </c>
      <c r="M27" s="232"/>
      <c r="N27" s="233">
        <f>Administrative!D34</f>
        <v>5550</v>
      </c>
      <c r="O27" s="120"/>
      <c r="P27" s="277">
        <f t="shared" si="3"/>
        <v>-575</v>
      </c>
      <c r="Q27" s="296">
        <f t="shared" si="2"/>
        <v>-9.3877551020408165E-2</v>
      </c>
      <c r="T27" s="287">
        <f>N27</f>
        <v>5550</v>
      </c>
    </row>
    <row r="28" spans="1:20" s="28" customFormat="1" ht="12.75" customHeight="1" x14ac:dyDescent="0.2">
      <c r="A28" s="64">
        <v>5211325</v>
      </c>
      <c r="B28" s="64" t="s">
        <v>154</v>
      </c>
      <c r="C28" s="59"/>
      <c r="D28" s="189">
        <v>4000</v>
      </c>
      <c r="E28" s="190">
        <v>2614.42</v>
      </c>
      <c r="F28" s="65"/>
      <c r="G28" s="189">
        <v>2975</v>
      </c>
      <c r="H28" s="226">
        <v>3494.97</v>
      </c>
      <c r="I28" s="224"/>
      <c r="J28" s="189">
        <v>2450</v>
      </c>
      <c r="K28" s="224">
        <v>2450</v>
      </c>
      <c r="L28" s="226">
        <v>1911.94</v>
      </c>
      <c r="M28" s="224"/>
      <c r="N28" s="225">
        <f>Administrative!D46</f>
        <v>2965</v>
      </c>
      <c r="O28" s="116"/>
      <c r="P28" s="277">
        <f t="shared" si="3"/>
        <v>515</v>
      </c>
      <c r="Q28" s="296">
        <f t="shared" si="2"/>
        <v>0.21020408163265306</v>
      </c>
      <c r="T28" s="287">
        <f>N28+500</f>
        <v>3465</v>
      </c>
    </row>
    <row r="29" spans="1:20" s="28" customFormat="1" ht="12.75" customHeight="1" x14ac:dyDescent="0.2">
      <c r="A29" s="64">
        <v>5211440</v>
      </c>
      <c r="B29" s="64" t="s">
        <v>155</v>
      </c>
      <c r="C29" s="59"/>
      <c r="D29" s="189">
        <v>3000</v>
      </c>
      <c r="E29" s="190">
        <v>3522.55</v>
      </c>
      <c r="F29" s="65"/>
      <c r="G29" s="189">
        <v>3037</v>
      </c>
      <c r="H29" s="226">
        <v>3850.51</v>
      </c>
      <c r="I29" s="224"/>
      <c r="J29" s="189">
        <v>4117.5</v>
      </c>
      <c r="K29" s="224">
        <v>4117.5</v>
      </c>
      <c r="L29" s="226">
        <v>5000</v>
      </c>
      <c r="M29" s="224"/>
      <c r="N29" s="225">
        <f>Administrative!K33</f>
        <v>4538.5</v>
      </c>
      <c r="O29" s="116"/>
      <c r="P29" s="277">
        <f t="shared" si="3"/>
        <v>421</v>
      </c>
      <c r="Q29" s="296">
        <f t="shared" si="2"/>
        <v>0.10224650880388585</v>
      </c>
      <c r="T29" s="286">
        <f>N29</f>
        <v>4538.5</v>
      </c>
    </row>
    <row r="30" spans="1:20" x14ac:dyDescent="0.2">
      <c r="A30" s="67">
        <v>5211533</v>
      </c>
      <c r="B30" s="67" t="s">
        <v>2</v>
      </c>
      <c r="C30" s="54"/>
      <c r="D30" s="195">
        <v>7100</v>
      </c>
      <c r="E30" s="188">
        <v>4600</v>
      </c>
      <c r="F30" s="57"/>
      <c r="G30" s="195">
        <v>7100</v>
      </c>
      <c r="H30" s="234">
        <v>5500</v>
      </c>
      <c r="I30" s="224"/>
      <c r="J30" s="195">
        <v>10875</v>
      </c>
      <c r="K30" s="235">
        <v>10875</v>
      </c>
      <c r="L30" s="234">
        <v>10375</v>
      </c>
      <c r="M30" s="235"/>
      <c r="N30" s="233">
        <f>Administrative!M44</f>
        <v>11000</v>
      </c>
      <c r="O30" s="120"/>
      <c r="P30" s="277">
        <f t="shared" si="3"/>
        <v>125</v>
      </c>
      <c r="Q30" s="296">
        <f t="shared" si="2"/>
        <v>1.1494252873563218E-2</v>
      </c>
      <c r="T30" s="286">
        <f>N30</f>
        <v>11000</v>
      </c>
    </row>
    <row r="31" spans="1:20" ht="13.5" x14ac:dyDescent="0.35">
      <c r="A31" s="67"/>
      <c r="B31" s="67"/>
      <c r="C31" s="54"/>
      <c r="D31" s="196">
        <f>SUM(D25:D30)</f>
        <v>42096.229999999996</v>
      </c>
      <c r="E31" s="197">
        <f>SUM(E25:E30)</f>
        <v>30397.179999999997</v>
      </c>
      <c r="F31" s="57"/>
      <c r="G31" s="196">
        <f>SUM(G25:G30)</f>
        <v>43367</v>
      </c>
      <c r="H31" s="201">
        <f>SUM(H25:H30)</f>
        <v>39884.19</v>
      </c>
      <c r="I31" s="224"/>
      <c r="J31" s="196">
        <f>SUM(J25:J30)</f>
        <v>49166.25</v>
      </c>
      <c r="K31" s="227">
        <v>78166.25</v>
      </c>
      <c r="L31" s="201">
        <f>SUM(L25:L30)</f>
        <v>97056.75</v>
      </c>
      <c r="M31" s="206"/>
      <c r="N31" s="228">
        <f>SUM(N25:N30)</f>
        <v>86113.5</v>
      </c>
      <c r="O31" s="116"/>
      <c r="P31" s="277">
        <f>SUM(N31-J31)</f>
        <v>36947.25</v>
      </c>
      <c r="Q31" s="296">
        <f t="shared" si="2"/>
        <v>0.75147585996491495</v>
      </c>
      <c r="T31" s="289">
        <f>SUM(T25:T30)</f>
        <v>88613.5</v>
      </c>
    </row>
    <row r="32" spans="1:20" x14ac:dyDescent="0.2">
      <c r="A32" s="67"/>
      <c r="B32" s="67"/>
      <c r="C32" s="54"/>
      <c r="D32" s="187"/>
      <c r="E32" s="188"/>
      <c r="F32" s="57"/>
      <c r="G32" s="187"/>
      <c r="H32" s="220"/>
      <c r="I32" s="224"/>
      <c r="J32" s="187"/>
      <c r="K32" s="206"/>
      <c r="L32" s="220"/>
      <c r="M32" s="206"/>
      <c r="N32" s="230"/>
      <c r="O32" s="115"/>
      <c r="P32" s="277"/>
      <c r="Q32" s="297"/>
      <c r="T32" s="286"/>
    </row>
    <row r="33" spans="1:25" ht="15" x14ac:dyDescent="0.25">
      <c r="A33" s="126" t="s">
        <v>21</v>
      </c>
      <c r="B33" s="67"/>
      <c r="C33" s="54"/>
      <c r="D33" s="187"/>
      <c r="E33" s="188"/>
      <c r="F33" s="57"/>
      <c r="G33" s="187"/>
      <c r="H33" s="220"/>
      <c r="I33" s="224"/>
      <c r="J33" s="187"/>
      <c r="K33" s="206"/>
      <c r="L33" s="220"/>
      <c r="M33" s="206"/>
      <c r="N33" s="230"/>
      <c r="O33" s="115"/>
      <c r="P33" s="277"/>
      <c r="Q33" s="297"/>
      <c r="T33" s="286"/>
    </row>
    <row r="34" spans="1:25" ht="2.25" customHeight="1" x14ac:dyDescent="0.2">
      <c r="A34" s="67"/>
      <c r="B34" s="67"/>
      <c r="C34" s="54"/>
      <c r="D34" s="187"/>
      <c r="E34" s="188"/>
      <c r="F34" s="65"/>
      <c r="G34" s="187"/>
      <c r="H34" s="220"/>
      <c r="I34" s="224"/>
      <c r="J34" s="187"/>
      <c r="K34" s="206"/>
      <c r="L34" s="220"/>
      <c r="M34" s="206"/>
      <c r="N34" s="230"/>
      <c r="O34" s="115"/>
      <c r="P34" s="277"/>
      <c r="Q34" s="297"/>
      <c r="T34" s="286"/>
    </row>
    <row r="35" spans="1:25" x14ac:dyDescent="0.2">
      <c r="A35" s="53" t="s">
        <v>0</v>
      </c>
      <c r="B35" s="53" t="s">
        <v>5</v>
      </c>
      <c r="C35" s="54"/>
      <c r="D35" s="187"/>
      <c r="E35" s="188"/>
      <c r="F35" s="57"/>
      <c r="G35" s="187"/>
      <c r="H35" s="220"/>
      <c r="I35" s="224"/>
      <c r="J35" s="187"/>
      <c r="K35" s="206"/>
      <c r="L35" s="220"/>
      <c r="M35" s="206"/>
      <c r="N35" s="230"/>
      <c r="O35" s="115"/>
      <c r="P35" s="277"/>
      <c r="Q35" s="297"/>
      <c r="T35" s="286"/>
    </row>
    <row r="36" spans="1:25" x14ac:dyDescent="0.2">
      <c r="A36" s="67">
        <v>5211270</v>
      </c>
      <c r="B36" s="67" t="s">
        <v>164</v>
      </c>
      <c r="C36" s="54"/>
      <c r="D36" s="187">
        <v>16770</v>
      </c>
      <c r="E36" s="188">
        <v>16770</v>
      </c>
      <c r="F36" s="57"/>
      <c r="G36" s="187">
        <v>17370</v>
      </c>
      <c r="H36" s="220">
        <v>19774.419999999998</v>
      </c>
      <c r="I36" s="224"/>
      <c r="J36" s="187">
        <v>24938.3</v>
      </c>
      <c r="K36" s="206">
        <v>24938.3</v>
      </c>
      <c r="L36" s="220">
        <v>23078.550000000003</v>
      </c>
      <c r="M36" s="206"/>
      <c r="N36" s="225">
        <f>Services!E8</f>
        <v>31252.75</v>
      </c>
      <c r="O36" s="115"/>
      <c r="P36" s="277">
        <f t="shared" ref="P36:P47" si="4">SUM(N36-J36)</f>
        <v>6314.4500000000007</v>
      </c>
      <c r="Q36" s="296">
        <f t="shared" ref="Q36:Q48" si="5">SUM(P36/J36)</f>
        <v>0.25320290476896984</v>
      </c>
      <c r="T36" s="348">
        <f>SUM(N36)+(N36*3%)</f>
        <v>32190.3325</v>
      </c>
    </row>
    <row r="37" spans="1:25" x14ac:dyDescent="0.2">
      <c r="A37" s="64">
        <v>5211330</v>
      </c>
      <c r="B37" s="67" t="s">
        <v>22</v>
      </c>
      <c r="C37" s="54"/>
      <c r="D37" s="187">
        <v>13340</v>
      </c>
      <c r="E37" s="188">
        <v>13896</v>
      </c>
      <c r="F37" s="65"/>
      <c r="G37" s="187">
        <v>14092</v>
      </c>
      <c r="H37" s="220">
        <v>14017</v>
      </c>
      <c r="I37" s="224"/>
      <c r="J37" s="187">
        <v>14368.68</v>
      </c>
      <c r="K37" s="206">
        <v>14368.68</v>
      </c>
      <c r="L37" s="220">
        <v>14368.68</v>
      </c>
      <c r="M37" s="206"/>
      <c r="N37" s="225">
        <f>Services!E20</f>
        <v>14556</v>
      </c>
      <c r="O37" s="115"/>
      <c r="P37" s="277">
        <f t="shared" si="4"/>
        <v>187.31999999999971</v>
      </c>
      <c r="Q37" s="296">
        <f t="shared" si="5"/>
        <v>1.3036688130016098E-2</v>
      </c>
      <c r="T37" s="286">
        <f>N37+200</f>
        <v>14756</v>
      </c>
    </row>
    <row r="38" spans="1:25" x14ac:dyDescent="0.2">
      <c r="A38" s="64">
        <v>5210525</v>
      </c>
      <c r="B38" s="67" t="s">
        <v>23</v>
      </c>
      <c r="C38" s="54"/>
      <c r="D38" s="187">
        <v>3000</v>
      </c>
      <c r="E38" s="188">
        <v>2771.03</v>
      </c>
      <c r="F38" s="65"/>
      <c r="G38" s="187">
        <v>2771.03</v>
      </c>
      <c r="H38" s="220">
        <v>2677.02</v>
      </c>
      <c r="I38" s="224"/>
      <c r="J38" s="187">
        <v>2677.02</v>
      </c>
      <c r="K38" s="206">
        <v>2677.02</v>
      </c>
      <c r="L38" s="220">
        <v>2564.33</v>
      </c>
      <c r="M38" s="206"/>
      <c r="N38" s="347">
        <f>Services!E28</f>
        <v>3993.39</v>
      </c>
      <c r="O38" s="121"/>
      <c r="P38" s="277">
        <f t="shared" si="4"/>
        <v>1316.37</v>
      </c>
      <c r="Q38" s="296">
        <f t="shared" si="5"/>
        <v>0.49172960978999031</v>
      </c>
      <c r="T38" s="286">
        <f>N38</f>
        <v>3993.39</v>
      </c>
    </row>
    <row r="39" spans="1:25" x14ac:dyDescent="0.2">
      <c r="A39" s="58">
        <v>5210715</v>
      </c>
      <c r="B39" s="25" t="s">
        <v>24</v>
      </c>
      <c r="C39" s="54"/>
      <c r="D39" s="187">
        <v>5874.6</v>
      </c>
      <c r="E39" s="188">
        <v>5416.36</v>
      </c>
      <c r="F39" s="65"/>
      <c r="G39" s="187">
        <v>6053.6</v>
      </c>
      <c r="H39" s="220">
        <v>7496.6</v>
      </c>
      <c r="I39" s="224"/>
      <c r="J39" s="187">
        <v>6567.6</v>
      </c>
      <c r="K39" s="206">
        <v>6567.6</v>
      </c>
      <c r="L39" s="220">
        <v>8794.7999999999993</v>
      </c>
      <c r="M39" s="206"/>
      <c r="N39" s="225">
        <f>Services!L34</f>
        <v>8236</v>
      </c>
      <c r="O39" s="122"/>
      <c r="P39" s="277">
        <f t="shared" si="4"/>
        <v>1668.3999999999996</v>
      </c>
      <c r="Q39" s="296">
        <f t="shared" si="5"/>
        <v>0.25403495949814231</v>
      </c>
      <c r="T39" s="286">
        <f>N39</f>
        <v>8236</v>
      </c>
    </row>
    <row r="40" spans="1:25" x14ac:dyDescent="0.2">
      <c r="A40" s="64">
        <v>5211516</v>
      </c>
      <c r="B40" s="67" t="s">
        <v>25</v>
      </c>
      <c r="C40" s="54"/>
      <c r="D40" s="187" t="s">
        <v>36</v>
      </c>
      <c r="E40" s="188" t="s">
        <v>36</v>
      </c>
      <c r="F40" s="65"/>
      <c r="G40" s="187" t="s">
        <v>36</v>
      </c>
      <c r="H40" s="220">
        <v>0</v>
      </c>
      <c r="I40" s="224"/>
      <c r="J40" s="187">
        <v>0</v>
      </c>
      <c r="K40" s="206">
        <v>0</v>
      </c>
      <c r="L40" s="220">
        <v>180</v>
      </c>
      <c r="M40" s="206"/>
      <c r="N40" s="225">
        <v>0</v>
      </c>
      <c r="O40" s="115"/>
      <c r="P40" s="277">
        <f t="shared" si="4"/>
        <v>0</v>
      </c>
      <c r="Q40" s="296">
        <v>0</v>
      </c>
      <c r="T40" s="286">
        <f>N40</f>
        <v>0</v>
      </c>
    </row>
    <row r="41" spans="1:25" x14ac:dyDescent="0.2">
      <c r="A41" s="64">
        <v>5220110</v>
      </c>
      <c r="B41" s="67" t="s">
        <v>159</v>
      </c>
      <c r="C41" s="54"/>
      <c r="D41" s="187">
        <v>2000</v>
      </c>
      <c r="E41" s="188">
        <v>5831.11</v>
      </c>
      <c r="F41" s="65"/>
      <c r="G41" s="187">
        <v>23399.96</v>
      </c>
      <c r="H41" s="220">
        <v>19795.05</v>
      </c>
      <c r="I41" s="224"/>
      <c r="J41" s="187">
        <v>2590</v>
      </c>
      <c r="K41" s="206">
        <v>2590</v>
      </c>
      <c r="L41" s="220">
        <v>7766.38</v>
      </c>
      <c r="M41" s="206"/>
      <c r="N41" s="225">
        <f>Services!L23</f>
        <v>4200</v>
      </c>
      <c r="O41" s="115"/>
      <c r="P41" s="277">
        <f t="shared" si="4"/>
        <v>1610</v>
      </c>
      <c r="Q41" s="296">
        <f t="shared" si="5"/>
        <v>0.6216216216216216</v>
      </c>
      <c r="T41" s="286">
        <f>N41</f>
        <v>4200</v>
      </c>
    </row>
    <row r="42" spans="1:25" x14ac:dyDescent="0.2">
      <c r="A42" s="58">
        <v>5210935</v>
      </c>
      <c r="B42" s="25" t="s">
        <v>165</v>
      </c>
      <c r="C42" s="25"/>
      <c r="D42" s="198">
        <v>6000</v>
      </c>
      <c r="E42" s="199">
        <v>8671.5400000000009</v>
      </c>
      <c r="F42" s="25"/>
      <c r="G42" s="198">
        <v>2907.16</v>
      </c>
      <c r="H42" s="220">
        <v>4706.3900000000003</v>
      </c>
      <c r="I42" s="224"/>
      <c r="J42" s="198">
        <v>5137.16</v>
      </c>
      <c r="K42" s="206">
        <v>5137.16</v>
      </c>
      <c r="L42" s="220">
        <v>6931.17</v>
      </c>
      <c r="M42" s="206"/>
      <c r="N42" s="225">
        <f>Services!L16</f>
        <v>11400</v>
      </c>
      <c r="O42" s="115"/>
      <c r="P42" s="277">
        <f t="shared" si="4"/>
        <v>6262.84</v>
      </c>
      <c r="Q42" s="296">
        <f t="shared" si="5"/>
        <v>1.2191249639878845</v>
      </c>
      <c r="T42" s="287">
        <f>15000</f>
        <v>15000</v>
      </c>
      <c r="Y42" s="367"/>
    </row>
    <row r="43" spans="1:25" x14ac:dyDescent="0.2">
      <c r="A43" s="64">
        <v>5211340</v>
      </c>
      <c r="B43" s="67" t="s">
        <v>156</v>
      </c>
      <c r="C43" s="54"/>
      <c r="D43" s="187">
        <v>1500</v>
      </c>
      <c r="E43" s="188">
        <v>326.7</v>
      </c>
      <c r="F43" s="65"/>
      <c r="G43" s="187">
        <v>1095</v>
      </c>
      <c r="H43" s="220">
        <v>820.24</v>
      </c>
      <c r="I43" s="224"/>
      <c r="J43" s="187">
        <v>1800</v>
      </c>
      <c r="K43" s="206">
        <v>1800</v>
      </c>
      <c r="L43" s="220">
        <v>1000</v>
      </c>
      <c r="M43" s="206"/>
      <c r="N43" s="225">
        <f>Services!L6</f>
        <v>1250</v>
      </c>
      <c r="O43" s="115"/>
      <c r="P43" s="277">
        <f t="shared" si="4"/>
        <v>-550</v>
      </c>
      <c r="Q43" s="296">
        <f t="shared" si="5"/>
        <v>-0.30555555555555558</v>
      </c>
      <c r="T43" s="286">
        <f>N43-250</f>
        <v>1000</v>
      </c>
    </row>
    <row r="44" spans="1:25" x14ac:dyDescent="0.2">
      <c r="A44" s="64">
        <v>5211520</v>
      </c>
      <c r="B44" s="67" t="s">
        <v>157</v>
      </c>
      <c r="C44" s="54"/>
      <c r="D44" s="187">
        <v>2000</v>
      </c>
      <c r="E44" s="188">
        <v>1121.28</v>
      </c>
      <c r="F44" s="65"/>
      <c r="G44" s="187">
        <v>2095</v>
      </c>
      <c r="H44" s="220">
        <v>3803.92</v>
      </c>
      <c r="I44" s="224"/>
      <c r="J44" s="187">
        <v>5000</v>
      </c>
      <c r="K44" s="206">
        <v>5000</v>
      </c>
      <c r="L44" s="220">
        <v>5431.75</v>
      </c>
      <c r="M44" s="206"/>
      <c r="N44" s="225">
        <f>Services!E46</f>
        <v>5000</v>
      </c>
      <c r="O44" s="115"/>
      <c r="P44" s="277">
        <f t="shared" si="4"/>
        <v>0</v>
      </c>
      <c r="Q44" s="296">
        <f t="shared" si="5"/>
        <v>0</v>
      </c>
      <c r="T44" s="286">
        <f>N44</f>
        <v>5000</v>
      </c>
    </row>
    <row r="45" spans="1:25" ht="12.75" customHeight="1" x14ac:dyDescent="0.2">
      <c r="A45" s="64">
        <v>5210129</v>
      </c>
      <c r="B45" s="67" t="s">
        <v>158</v>
      </c>
      <c r="C45" s="54"/>
      <c r="D45" s="187">
        <v>2000</v>
      </c>
      <c r="E45" s="188">
        <v>3000</v>
      </c>
      <c r="F45" s="65"/>
      <c r="G45" s="187">
        <v>2000</v>
      </c>
      <c r="H45" s="220">
        <v>0</v>
      </c>
      <c r="I45" s="224"/>
      <c r="J45" s="187">
        <v>15500</v>
      </c>
      <c r="K45" s="206">
        <v>15500</v>
      </c>
      <c r="L45" s="220">
        <v>13295.48</v>
      </c>
      <c r="M45" s="206"/>
      <c r="N45" s="225">
        <f>Services!E37</f>
        <v>11613</v>
      </c>
      <c r="O45" s="115"/>
      <c r="P45" s="277">
        <f t="shared" si="4"/>
        <v>-3887</v>
      </c>
      <c r="Q45" s="296">
        <f t="shared" si="5"/>
        <v>-0.25077419354838709</v>
      </c>
      <c r="T45" s="286">
        <f>N45</f>
        <v>11613</v>
      </c>
    </row>
    <row r="46" spans="1:25" ht="12.75" customHeight="1" x14ac:dyDescent="0.2">
      <c r="A46" s="64" t="s">
        <v>191</v>
      </c>
      <c r="B46" s="67" t="s">
        <v>234</v>
      </c>
      <c r="C46" s="54"/>
      <c r="D46" s="187">
        <v>0</v>
      </c>
      <c r="E46" s="188">
        <v>0</v>
      </c>
      <c r="F46" s="65"/>
      <c r="G46" s="187">
        <v>0</v>
      </c>
      <c r="H46" s="220">
        <v>0</v>
      </c>
      <c r="I46" s="224"/>
      <c r="J46" s="187">
        <v>0</v>
      </c>
      <c r="K46" s="206">
        <v>0</v>
      </c>
      <c r="L46" s="220">
        <v>0</v>
      </c>
      <c r="M46" s="206"/>
      <c r="N46" s="225">
        <f>Services!L45</f>
        <v>1961</v>
      </c>
      <c r="O46" s="115"/>
      <c r="P46" s="277">
        <f t="shared" si="4"/>
        <v>1961</v>
      </c>
      <c r="Q46" s="296">
        <v>1</v>
      </c>
      <c r="T46" s="286">
        <f>N46+125</f>
        <v>2086</v>
      </c>
    </row>
    <row r="47" spans="1:25" x14ac:dyDescent="0.2">
      <c r="A47" s="67">
        <v>5211215</v>
      </c>
      <c r="B47" s="67" t="s">
        <v>160</v>
      </c>
      <c r="C47" s="54"/>
      <c r="D47" s="187">
        <v>800</v>
      </c>
      <c r="E47" s="188">
        <v>314.64</v>
      </c>
      <c r="F47" s="65"/>
      <c r="G47" s="187">
        <v>800</v>
      </c>
      <c r="H47" s="220">
        <v>365.75</v>
      </c>
      <c r="I47" s="224"/>
      <c r="J47" s="187">
        <v>400.94</v>
      </c>
      <c r="K47" s="206">
        <v>400.94</v>
      </c>
      <c r="L47" s="220">
        <v>400.94</v>
      </c>
      <c r="M47" s="206"/>
      <c r="N47" s="225">
        <f>J47</f>
        <v>400.94</v>
      </c>
      <c r="O47" s="115"/>
      <c r="P47" s="277">
        <f t="shared" si="4"/>
        <v>0</v>
      </c>
      <c r="Q47" s="296">
        <f t="shared" si="5"/>
        <v>0</v>
      </c>
      <c r="T47" s="286">
        <f>N47</f>
        <v>400.94</v>
      </c>
    </row>
    <row r="48" spans="1:25" ht="12" customHeight="1" x14ac:dyDescent="0.2">
      <c r="B48" s="26"/>
      <c r="C48" s="54"/>
      <c r="D48" s="191">
        <f>SUM(D36:D47)</f>
        <v>53284.6</v>
      </c>
      <c r="E48" s="192">
        <f>SUM(E36:E47)</f>
        <v>58118.659999999996</v>
      </c>
      <c r="F48" s="57"/>
      <c r="G48" s="191">
        <f>SUM(G36:G47)</f>
        <v>72583.75</v>
      </c>
      <c r="H48" s="201">
        <f>SUM(H36:H47)</f>
        <v>73456.39</v>
      </c>
      <c r="I48" s="229"/>
      <c r="J48" s="200">
        <f>SUM(J36:J47)</f>
        <v>78979.7</v>
      </c>
      <c r="K48" s="227">
        <v>78979.7</v>
      </c>
      <c r="L48" s="201">
        <f>SUM(L36:L47)</f>
        <v>83812.08</v>
      </c>
      <c r="M48" s="206"/>
      <c r="N48" s="228">
        <f>SUM(N36:N47)</f>
        <v>93863.08</v>
      </c>
      <c r="O48" s="115"/>
      <c r="P48" s="277">
        <f>SUM(N48-J48)</f>
        <v>14883.380000000005</v>
      </c>
      <c r="Q48" s="296">
        <f t="shared" si="5"/>
        <v>0.18844563856282065</v>
      </c>
      <c r="T48" s="288">
        <f>SUM(T36:T47)</f>
        <v>98475.662500000006</v>
      </c>
    </row>
    <row r="49" spans="1:24" ht="4.5" customHeight="1" x14ac:dyDescent="0.2">
      <c r="C49" s="54"/>
      <c r="D49" s="187"/>
      <c r="E49" s="193"/>
      <c r="F49" s="56"/>
      <c r="G49" s="187"/>
      <c r="H49" s="220"/>
      <c r="I49" s="237"/>
      <c r="J49" s="187"/>
      <c r="K49" s="206"/>
      <c r="L49" s="220"/>
      <c r="M49" s="206"/>
      <c r="N49" s="230"/>
      <c r="O49" s="115"/>
      <c r="P49" s="277"/>
      <c r="Q49" s="297"/>
      <c r="T49" s="286"/>
    </row>
    <row r="50" spans="1:24" ht="15" x14ac:dyDescent="0.25">
      <c r="A50" s="126" t="s">
        <v>16</v>
      </c>
      <c r="B50" s="26"/>
      <c r="C50" s="54"/>
      <c r="D50" s="187"/>
      <c r="E50" s="193"/>
      <c r="F50" s="63"/>
      <c r="G50" s="187"/>
      <c r="H50" s="220"/>
      <c r="I50" s="237"/>
      <c r="J50" s="187"/>
      <c r="K50" s="206"/>
      <c r="L50" s="220"/>
      <c r="M50" s="206"/>
      <c r="N50" s="230"/>
      <c r="O50" s="115"/>
      <c r="P50" s="277"/>
      <c r="Q50" s="297"/>
      <c r="T50" s="286"/>
      <c r="X50" s="359"/>
    </row>
    <row r="51" spans="1:24" ht="7.5" customHeight="1" x14ac:dyDescent="0.2">
      <c r="A51" s="34"/>
      <c r="B51" s="26"/>
      <c r="C51" s="54"/>
      <c r="D51" s="187"/>
      <c r="E51" s="193"/>
      <c r="F51" s="63"/>
      <c r="G51" s="187"/>
      <c r="H51" s="220"/>
      <c r="I51" s="237"/>
      <c r="J51" s="187"/>
      <c r="K51" s="206"/>
      <c r="L51" s="220"/>
      <c r="M51" s="206"/>
      <c r="N51" s="230"/>
      <c r="O51" s="115"/>
      <c r="P51" s="277"/>
      <c r="Q51" s="297"/>
      <c r="T51" s="286"/>
    </row>
    <row r="52" spans="1:24" ht="9.75" customHeight="1" x14ac:dyDescent="0.2">
      <c r="A52" s="53" t="s">
        <v>0</v>
      </c>
      <c r="B52" s="68" t="s">
        <v>5</v>
      </c>
      <c r="C52" s="54"/>
      <c r="D52" s="187"/>
      <c r="E52" s="193"/>
      <c r="F52" s="63"/>
      <c r="G52" s="187"/>
      <c r="H52" s="220"/>
      <c r="I52" s="237"/>
      <c r="J52" s="187"/>
      <c r="K52" s="206"/>
      <c r="L52" s="220"/>
      <c r="M52" s="206"/>
      <c r="N52" s="230"/>
      <c r="O52" s="115"/>
      <c r="P52" s="277"/>
      <c r="Q52" s="297"/>
      <c r="T52" s="286"/>
    </row>
    <row r="53" spans="1:24" ht="12.75" customHeight="1" x14ac:dyDescent="0.35">
      <c r="A53" s="67"/>
      <c r="B53" s="29" t="s">
        <v>26</v>
      </c>
      <c r="C53" s="54"/>
      <c r="D53" s="200">
        <v>0</v>
      </c>
      <c r="E53" s="201">
        <v>0</v>
      </c>
      <c r="F53" s="63"/>
      <c r="G53" s="238">
        <v>0</v>
      </c>
      <c r="H53" s="239">
        <v>0</v>
      </c>
      <c r="I53" s="240"/>
      <c r="J53" s="238">
        <v>0</v>
      </c>
      <c r="K53" s="241">
        <v>0</v>
      </c>
      <c r="L53" s="239">
        <v>0</v>
      </c>
      <c r="M53" s="206"/>
      <c r="N53" s="236">
        <v>0</v>
      </c>
      <c r="O53" s="115"/>
      <c r="P53" s="277">
        <v>0</v>
      </c>
      <c r="Q53" s="297">
        <v>0</v>
      </c>
      <c r="T53" s="286">
        <f>N53</f>
        <v>0</v>
      </c>
    </row>
    <row r="54" spans="1:24" x14ac:dyDescent="0.2">
      <c r="B54" s="26"/>
      <c r="C54" s="54"/>
      <c r="D54" s="187"/>
      <c r="E54" s="193"/>
      <c r="F54" s="63"/>
      <c r="G54" s="187"/>
      <c r="H54" s="220"/>
      <c r="I54" s="237"/>
      <c r="J54" s="187"/>
      <c r="K54" s="206"/>
      <c r="L54" s="220"/>
      <c r="M54" s="206"/>
      <c r="N54" s="230"/>
      <c r="O54" s="115"/>
      <c r="P54" s="277"/>
      <c r="Q54" s="297"/>
      <c r="T54" s="286"/>
    </row>
    <row r="55" spans="1:24" ht="12" customHeight="1" thickBot="1" x14ac:dyDescent="0.25">
      <c r="B55" s="128" t="s">
        <v>11</v>
      </c>
      <c r="C55" s="70"/>
      <c r="D55" s="202">
        <f>SUM(D20+D31+D48)</f>
        <v>374866.34</v>
      </c>
      <c r="E55" s="203">
        <f>SUM(E20+E31+E48)</f>
        <v>358539.54</v>
      </c>
      <c r="F55" s="63"/>
      <c r="G55" s="202">
        <f>SUM(G20+G31+G48)</f>
        <v>470254.42</v>
      </c>
      <c r="H55" s="242">
        <f>SUM(H20+H31+H48)</f>
        <v>461799.12999999995</v>
      </c>
      <c r="I55" s="229"/>
      <c r="J55" s="202">
        <f>SUM(J48+J31+J20)</f>
        <v>526862.27863420011</v>
      </c>
      <c r="K55" s="243">
        <f>SUM(K48+K31+K20)</f>
        <v>526862.27863420011</v>
      </c>
      <c r="L55" s="242">
        <f>SUM(L20+L31+L48)</f>
        <v>492982.21240000002</v>
      </c>
      <c r="M55" s="244"/>
      <c r="N55" s="245">
        <f>SUM(N53+N48+N31+N20)</f>
        <v>556781.09951840003</v>
      </c>
      <c r="O55" s="116"/>
      <c r="P55" s="277">
        <f>SUM(N55-J55)</f>
        <v>29918.820884199929</v>
      </c>
      <c r="Q55" s="296">
        <f t="shared" ref="Q55" si="6">SUM(P55/J55)</f>
        <v>5.6786796279588152E-2</v>
      </c>
      <c r="T55" s="290">
        <f>SUM(T48+T31+T20)</f>
        <v>574464.40586199204</v>
      </c>
    </row>
    <row r="56" spans="1:24" ht="5.25" customHeight="1" thickTop="1" thickBot="1" x14ac:dyDescent="0.25">
      <c r="C56" s="63"/>
      <c r="D56" s="204"/>
      <c r="E56" s="205"/>
      <c r="F56" s="63"/>
      <c r="G56" s="204"/>
      <c r="H56" s="246"/>
      <c r="I56" s="237"/>
      <c r="J56" s="204"/>
      <c r="K56" s="247"/>
      <c r="L56" s="246"/>
      <c r="M56" s="206"/>
      <c r="N56" s="248"/>
      <c r="O56" s="117"/>
      <c r="P56" s="278"/>
      <c r="Q56" s="298"/>
      <c r="T56" s="291"/>
    </row>
    <row r="57" spans="1:24" ht="10.5" customHeight="1" x14ac:dyDescent="0.2">
      <c r="B57" s="361" t="s">
        <v>232</v>
      </c>
      <c r="C57" s="63"/>
      <c r="D57" s="362">
        <f>SUM((D55-363300)/(363300))</f>
        <v>3.1836884117809043E-2</v>
      </c>
      <c r="E57" s="363"/>
      <c r="F57" s="364"/>
      <c r="G57" s="362">
        <f>SUM((G55-D55)/(D55))</f>
        <v>0.25445890927416942</v>
      </c>
      <c r="H57" s="261"/>
      <c r="I57" s="365"/>
      <c r="J57" s="362">
        <f>SUM((J55-G55)/(G55))</f>
        <v>0.12037708998928734</v>
      </c>
      <c r="K57" s="261"/>
      <c r="L57" s="261"/>
      <c r="M57" s="261"/>
      <c r="N57" s="362">
        <f>SUM((N55-J55)/(J55))</f>
        <v>5.6786796279588152E-2</v>
      </c>
      <c r="O57" s="364"/>
      <c r="P57" s="261"/>
      <c r="Q57" s="366"/>
      <c r="R57" s="52"/>
      <c r="S57" s="52"/>
      <c r="T57" s="368">
        <f>SUM((T55-N55)/(N55))</f>
        <v>3.1759889764375202E-2</v>
      </c>
    </row>
    <row r="58" spans="1:24" ht="10.5" customHeight="1" x14ac:dyDescent="0.2">
      <c r="C58" s="63"/>
      <c r="D58" s="206">
        <f>SUM(D55-363300)</f>
        <v>11566.340000000026</v>
      </c>
      <c r="E58" s="207"/>
      <c r="F58" s="63"/>
      <c r="G58" s="206">
        <f>SUM(G55-D55)</f>
        <v>95388.079999999958</v>
      </c>
      <c r="H58" s="206"/>
      <c r="I58" s="237"/>
      <c r="J58" s="206">
        <f>SUM(J55-G55)</f>
        <v>56607.858634200122</v>
      </c>
      <c r="K58" s="206"/>
      <c r="L58" s="206"/>
      <c r="M58" s="206"/>
      <c r="N58" s="206">
        <f>SUM(N55-J55)</f>
        <v>29918.820884199929</v>
      </c>
      <c r="O58" s="63"/>
      <c r="P58" s="206"/>
      <c r="Q58" s="299"/>
      <c r="T58" s="292">
        <f>SUM(T55-N55)</f>
        <v>17683.306343592005</v>
      </c>
    </row>
    <row r="59" spans="1:24" ht="10.5" customHeight="1" x14ac:dyDescent="0.2">
      <c r="C59" s="63"/>
      <c r="D59" s="206"/>
      <c r="E59" s="207"/>
      <c r="F59" s="63"/>
      <c r="G59" s="206"/>
      <c r="H59" s="206"/>
      <c r="I59" s="237"/>
      <c r="J59" s="206"/>
      <c r="K59" s="206"/>
      <c r="L59" s="206"/>
      <c r="M59" s="206"/>
      <c r="N59" s="206"/>
      <c r="O59" s="63"/>
      <c r="P59" s="206"/>
      <c r="Q59" s="299"/>
      <c r="T59" s="292"/>
    </row>
    <row r="60" spans="1:24" ht="15.75" x14ac:dyDescent="0.25">
      <c r="A60" s="36" t="s">
        <v>31</v>
      </c>
      <c r="B60" s="28"/>
      <c r="C60" s="31"/>
      <c r="D60" s="208"/>
      <c r="E60" s="209" t="s">
        <v>35</v>
      </c>
      <c r="F60" s="31"/>
      <c r="G60" s="208"/>
      <c r="H60" s="209" t="s">
        <v>37</v>
      </c>
      <c r="I60" s="249"/>
      <c r="J60" s="208"/>
      <c r="K60" s="208"/>
      <c r="L60" s="209" t="s">
        <v>41</v>
      </c>
      <c r="M60" s="249"/>
      <c r="N60" s="250"/>
      <c r="O60" s="99"/>
      <c r="P60" s="250"/>
      <c r="Q60" s="300" t="s">
        <v>48</v>
      </c>
      <c r="T60" s="250" t="s">
        <v>195</v>
      </c>
    </row>
    <row r="61" spans="1:24" ht="3.75" customHeight="1" thickBot="1" x14ac:dyDescent="0.25">
      <c r="A61" s="71"/>
      <c r="C61" s="63"/>
      <c r="D61" s="206"/>
      <c r="E61" s="210"/>
      <c r="F61" s="63"/>
      <c r="G61" s="206"/>
      <c r="H61" s="206"/>
      <c r="I61" s="237"/>
      <c r="J61" s="206"/>
      <c r="K61" s="206"/>
      <c r="L61" s="206"/>
      <c r="M61" s="206"/>
      <c r="N61" s="206"/>
      <c r="O61" s="63"/>
      <c r="P61" s="206"/>
      <c r="Q61" s="299"/>
      <c r="T61" s="292"/>
    </row>
    <row r="62" spans="1:24" ht="12.75" x14ac:dyDescent="0.2">
      <c r="A62" s="71"/>
      <c r="C62" s="41"/>
      <c r="D62" s="211" t="s">
        <v>13</v>
      </c>
      <c r="E62" s="212" t="s">
        <v>6</v>
      </c>
      <c r="F62" s="41"/>
      <c r="G62" s="211" t="s">
        <v>13</v>
      </c>
      <c r="H62" s="212" t="s">
        <v>39</v>
      </c>
      <c r="I62" s="251"/>
      <c r="J62" s="211" t="s">
        <v>13</v>
      </c>
      <c r="K62" s="252" t="s">
        <v>163</v>
      </c>
      <c r="L62" s="212" t="s">
        <v>45</v>
      </c>
      <c r="M62" s="207"/>
      <c r="N62" s="253" t="s">
        <v>238</v>
      </c>
      <c r="O62" s="100"/>
      <c r="P62" s="279"/>
      <c r="Q62" s="301"/>
      <c r="T62" s="293" t="s">
        <v>199</v>
      </c>
    </row>
    <row r="63" spans="1:24" ht="12.75" x14ac:dyDescent="0.2">
      <c r="A63" s="71"/>
      <c r="C63" s="41"/>
      <c r="D63" s="213" t="s">
        <v>34</v>
      </c>
      <c r="E63" s="193" t="s">
        <v>34</v>
      </c>
      <c r="F63" s="41"/>
      <c r="G63" s="213" t="s">
        <v>40</v>
      </c>
      <c r="H63" s="193" t="s">
        <v>40</v>
      </c>
      <c r="I63" s="240"/>
      <c r="J63" s="213" t="s">
        <v>42</v>
      </c>
      <c r="K63" s="207" t="s">
        <v>42</v>
      </c>
      <c r="L63" s="193" t="s">
        <v>42</v>
      </c>
      <c r="M63" s="207"/>
      <c r="N63" s="254" t="s">
        <v>46</v>
      </c>
      <c r="O63" s="101"/>
      <c r="P63" s="280"/>
      <c r="Q63" s="302"/>
      <c r="T63" s="294" t="s">
        <v>194</v>
      </c>
    </row>
    <row r="64" spans="1:24" ht="15" x14ac:dyDescent="0.25">
      <c r="A64" s="127" t="s">
        <v>15</v>
      </c>
      <c r="C64" s="31"/>
      <c r="D64" s="214"/>
      <c r="E64" s="215"/>
      <c r="F64" s="41"/>
      <c r="G64" s="214"/>
      <c r="H64" s="188"/>
      <c r="I64" s="237"/>
      <c r="J64" s="214"/>
      <c r="K64" s="255"/>
      <c r="L64" s="188"/>
      <c r="M64" s="255"/>
      <c r="N64" s="256"/>
      <c r="O64" s="102"/>
      <c r="P64" s="281"/>
      <c r="Q64" s="303"/>
      <c r="T64" s="286"/>
    </row>
    <row r="65" spans="1:20" ht="2.25" customHeight="1" x14ac:dyDescent="0.2">
      <c r="A65" s="71"/>
      <c r="C65" s="63"/>
      <c r="D65" s="187"/>
      <c r="E65" s="193"/>
      <c r="F65" s="63"/>
      <c r="G65" s="187"/>
      <c r="H65" s="220"/>
      <c r="I65" s="224"/>
      <c r="J65" s="187"/>
      <c r="K65" s="206"/>
      <c r="L65" s="220"/>
      <c r="M65" s="206"/>
      <c r="N65" s="257"/>
      <c r="O65" s="103"/>
      <c r="P65" s="282"/>
      <c r="Q65" s="304"/>
      <c r="T65" s="286"/>
    </row>
    <row r="66" spans="1:20" ht="13.5" customHeight="1" x14ac:dyDescent="0.2">
      <c r="A66" s="72" t="s">
        <v>0</v>
      </c>
      <c r="B66" s="72" t="s">
        <v>7</v>
      </c>
      <c r="C66" s="63"/>
      <c r="D66" s="187"/>
      <c r="E66" s="193"/>
      <c r="F66" s="69"/>
      <c r="G66" s="187"/>
      <c r="H66" s="220"/>
      <c r="I66" s="224"/>
      <c r="J66" s="187"/>
      <c r="K66" s="206"/>
      <c r="L66" s="220"/>
      <c r="M66" s="206"/>
      <c r="N66" s="257"/>
      <c r="O66" s="103"/>
      <c r="P66" s="283"/>
      <c r="Q66" s="305" t="s">
        <v>47</v>
      </c>
      <c r="T66" s="286"/>
    </row>
    <row r="67" spans="1:20" ht="13.5" customHeight="1" x14ac:dyDescent="0.2">
      <c r="A67" s="29">
        <v>4710510</v>
      </c>
      <c r="B67" s="25" t="s">
        <v>27</v>
      </c>
      <c r="C67" s="73"/>
      <c r="D67" s="187">
        <v>348366.36</v>
      </c>
      <c r="E67" s="188">
        <v>348367.13</v>
      </c>
      <c r="F67" s="73"/>
      <c r="G67" s="187">
        <v>387528.42</v>
      </c>
      <c r="H67" s="258">
        <v>387528.42</v>
      </c>
      <c r="I67" s="224"/>
      <c r="J67" s="187">
        <v>470362.28224712005</v>
      </c>
      <c r="K67" s="206">
        <v>470362.28224712005</v>
      </c>
      <c r="L67" s="258">
        <v>469161.48</v>
      </c>
      <c r="M67" s="206"/>
      <c r="N67" s="259">
        <f>SUM(N55-N77-N82-10000)</f>
        <v>514781.09951840003</v>
      </c>
      <c r="O67" s="103"/>
      <c r="P67" s="282">
        <f>SUM(N67-J67)</f>
        <v>44418.817271279986</v>
      </c>
      <c r="Q67" s="306">
        <f>SUM(P67/J67)</f>
        <v>9.4435329846331351E-2</v>
      </c>
      <c r="T67" s="287">
        <f>SUM((T55)-(32000))</f>
        <v>542464.40586199204</v>
      </c>
    </row>
    <row r="68" spans="1:20" ht="13.5" customHeight="1" x14ac:dyDescent="0.2">
      <c r="A68" s="29"/>
      <c r="B68" s="52" t="s">
        <v>28</v>
      </c>
      <c r="C68" s="74"/>
      <c r="D68" s="216">
        <v>116122.12</v>
      </c>
      <c r="E68" s="217">
        <v>116122.12</v>
      </c>
      <c r="F68" s="74"/>
      <c r="G68" s="216">
        <f>SUM(G67/3)</f>
        <v>129176.14</v>
      </c>
      <c r="H68" s="260">
        <f>SUM(H67/3)</f>
        <v>129176.14</v>
      </c>
      <c r="I68" s="224"/>
      <c r="J68" s="216">
        <v>156787.42741570668</v>
      </c>
      <c r="K68" s="261">
        <v>156787.42741570668</v>
      </c>
      <c r="L68" s="260">
        <v>156387.43</v>
      </c>
      <c r="M68" s="261"/>
      <c r="N68" s="262">
        <f>SUM(N67/3)</f>
        <v>171593.69983946669</v>
      </c>
      <c r="O68" s="125"/>
      <c r="P68" s="284">
        <f>SUM(N68-J68)</f>
        <v>14806.272423760005</v>
      </c>
      <c r="Q68" s="307">
        <f>SUM(P68/J68)</f>
        <v>9.4435329846331406E-2</v>
      </c>
      <c r="T68" s="310">
        <f>SUM(T67/3)</f>
        <v>180821.468620664</v>
      </c>
    </row>
    <row r="69" spans="1:20" ht="13.5" customHeight="1" x14ac:dyDescent="0.2">
      <c r="A69" s="29"/>
      <c r="B69" s="52" t="s">
        <v>193</v>
      </c>
      <c r="C69" s="74"/>
      <c r="D69" s="216">
        <f>SUM(D67/3)</f>
        <v>116122.12</v>
      </c>
      <c r="E69" s="217">
        <v>116122.12</v>
      </c>
      <c r="F69" s="74"/>
      <c r="G69" s="216">
        <f>SUM(G67/3)</f>
        <v>129176.14</v>
      </c>
      <c r="H69" s="260">
        <f>SUM(H67/3)</f>
        <v>129176.14</v>
      </c>
      <c r="I69" s="224"/>
      <c r="J69" s="216">
        <v>156787.42741570668</v>
      </c>
      <c r="K69" s="261">
        <v>156787.42741570668</v>
      </c>
      <c r="L69" s="260">
        <v>156387.43</v>
      </c>
      <c r="M69" s="261"/>
      <c r="N69" s="262">
        <f>SUM(N67/3)</f>
        <v>171593.69983946669</v>
      </c>
      <c r="O69" s="125"/>
      <c r="P69" s="284">
        <f>SUM(N69-J69)</f>
        <v>14806.272423760005</v>
      </c>
      <c r="Q69" s="307">
        <f>SUM(P69/J69)</f>
        <v>9.4435329846331406E-2</v>
      </c>
      <c r="T69" s="310">
        <f>SUM(T67/3)</f>
        <v>180821.468620664</v>
      </c>
    </row>
    <row r="70" spans="1:20" ht="12.75" customHeight="1" x14ac:dyDescent="0.2">
      <c r="A70" s="75"/>
      <c r="B70" s="52" t="s">
        <v>189</v>
      </c>
      <c r="C70" s="74"/>
      <c r="D70" s="216">
        <f>SUM(D67/3)</f>
        <v>116122.12</v>
      </c>
      <c r="E70" s="217">
        <v>116122.12</v>
      </c>
      <c r="F70" s="76"/>
      <c r="G70" s="216">
        <f>SUM(G67/3)</f>
        <v>129176.14</v>
      </c>
      <c r="H70" s="260">
        <f>SUM(H67/3)</f>
        <v>129176.14</v>
      </c>
      <c r="I70" s="263"/>
      <c r="J70" s="216">
        <v>156787.42741570668</v>
      </c>
      <c r="K70" s="261">
        <v>156787.42741570668</v>
      </c>
      <c r="L70" s="260">
        <v>156387.43</v>
      </c>
      <c r="M70" s="261"/>
      <c r="N70" s="262">
        <f>SUM(N67/3)</f>
        <v>171593.69983946669</v>
      </c>
      <c r="O70" s="125"/>
      <c r="P70" s="284">
        <f>SUM(N70-J70)</f>
        <v>14806.272423760005</v>
      </c>
      <c r="Q70" s="307">
        <f>SUM(P70/J70)</f>
        <v>9.4435329846331406E-2</v>
      </c>
      <c r="T70" s="310">
        <f>SUM(T67/3)</f>
        <v>180821.468620664</v>
      </c>
    </row>
    <row r="71" spans="1:20" ht="13.5" customHeight="1" x14ac:dyDescent="0.2">
      <c r="A71" s="75"/>
      <c r="B71" s="52"/>
      <c r="C71" s="74"/>
      <c r="D71" s="196">
        <v>348366.36</v>
      </c>
      <c r="E71" s="218">
        <f>SUM(E67)</f>
        <v>348367.13</v>
      </c>
      <c r="F71" s="78"/>
      <c r="G71" s="196">
        <f>SUM(G67)</f>
        <v>387528.42</v>
      </c>
      <c r="H71" s="264">
        <f>SUM(H67)</f>
        <v>387528.42</v>
      </c>
      <c r="I71" s="224"/>
      <c r="J71" s="196">
        <v>470362.28224712005</v>
      </c>
      <c r="K71" s="227">
        <v>470362.28224712005</v>
      </c>
      <c r="L71" s="264">
        <f>L67</f>
        <v>469161.48</v>
      </c>
      <c r="M71" s="206"/>
      <c r="N71" s="265">
        <f>N67</f>
        <v>514781.09951840003</v>
      </c>
      <c r="O71" s="103"/>
      <c r="P71" s="282">
        <f>N71-J71</f>
        <v>44418.817271279986</v>
      </c>
      <c r="Q71" s="306">
        <f>SUM(P71/J71)</f>
        <v>9.4435329846331351E-2</v>
      </c>
      <c r="T71" s="295">
        <f>T67</f>
        <v>542464.40586199204</v>
      </c>
    </row>
    <row r="72" spans="1:20" ht="4.5" customHeight="1" x14ac:dyDescent="0.2">
      <c r="A72" s="75"/>
      <c r="B72" s="52"/>
      <c r="C72" s="74"/>
      <c r="D72" s="187"/>
      <c r="E72" s="188"/>
      <c r="F72" s="78"/>
      <c r="G72" s="187"/>
      <c r="H72" s="220"/>
      <c r="I72" s="224"/>
      <c r="J72" s="187"/>
      <c r="K72" s="206"/>
      <c r="L72" s="220"/>
      <c r="M72" s="206"/>
      <c r="N72" s="257"/>
      <c r="O72" s="103"/>
      <c r="P72" s="282"/>
      <c r="Q72" s="304"/>
      <c r="T72" s="287"/>
    </row>
    <row r="73" spans="1:20" ht="15" x14ac:dyDescent="0.25">
      <c r="A73" s="127" t="s">
        <v>8</v>
      </c>
      <c r="B73" s="52"/>
      <c r="C73" s="74"/>
      <c r="D73" s="187"/>
      <c r="E73" s="188"/>
      <c r="F73" s="78"/>
      <c r="G73" s="187"/>
      <c r="H73" s="220"/>
      <c r="I73" s="224"/>
      <c r="J73" s="187"/>
      <c r="K73" s="206"/>
      <c r="L73" s="220"/>
      <c r="M73" s="206"/>
      <c r="N73" s="257"/>
      <c r="O73" s="103"/>
      <c r="P73" s="282"/>
      <c r="Q73" s="304"/>
      <c r="T73" s="287"/>
    </row>
    <row r="74" spans="1:20" ht="7.5" customHeight="1" x14ac:dyDescent="0.2">
      <c r="A74" s="75"/>
      <c r="B74" s="52"/>
      <c r="C74" s="74"/>
      <c r="D74" s="216"/>
      <c r="E74" s="217"/>
      <c r="F74" s="76"/>
      <c r="G74" s="216"/>
      <c r="H74" s="266"/>
      <c r="I74" s="224"/>
      <c r="J74" s="216"/>
      <c r="K74" s="261"/>
      <c r="L74" s="266"/>
      <c r="M74" s="261"/>
      <c r="N74" s="267"/>
      <c r="O74" s="104"/>
      <c r="P74" s="284"/>
      <c r="Q74" s="308"/>
      <c r="T74" s="287"/>
    </row>
    <row r="75" spans="1:20" ht="13.5" customHeight="1" x14ac:dyDescent="0.2">
      <c r="A75" s="29">
        <v>4640333</v>
      </c>
      <c r="B75" s="25" t="s">
        <v>29</v>
      </c>
      <c r="C75" s="73"/>
      <c r="D75" s="189">
        <v>25000</v>
      </c>
      <c r="E75" s="188">
        <v>15536</v>
      </c>
      <c r="F75" s="60">
        <v>15536</v>
      </c>
      <c r="G75" s="189">
        <v>25000</v>
      </c>
      <c r="H75" s="226">
        <v>17424</v>
      </c>
      <c r="I75" s="224"/>
      <c r="J75" s="189">
        <v>30000</v>
      </c>
      <c r="K75" s="224">
        <v>30000</v>
      </c>
      <c r="L75" s="226">
        <v>23778</v>
      </c>
      <c r="M75" s="224"/>
      <c r="N75" s="259">
        <v>30000</v>
      </c>
      <c r="O75" s="103"/>
      <c r="P75" s="282">
        <v>0</v>
      </c>
      <c r="Q75" s="304">
        <f>SUM(P75/J75)</f>
        <v>0</v>
      </c>
      <c r="T75" s="287">
        <v>30000</v>
      </c>
    </row>
    <row r="76" spans="1:20" ht="13.5" customHeight="1" x14ac:dyDescent="0.2">
      <c r="A76" s="29">
        <v>4710631</v>
      </c>
      <c r="B76" s="25" t="s">
        <v>14</v>
      </c>
      <c r="C76" s="73"/>
      <c r="D76" s="189">
        <v>0</v>
      </c>
      <c r="E76" s="188"/>
      <c r="F76" s="60">
        <v>0</v>
      </c>
      <c r="G76" s="189">
        <v>226</v>
      </c>
      <c r="H76" s="226">
        <v>364.52</v>
      </c>
      <c r="I76" s="224"/>
      <c r="J76" s="189">
        <v>0</v>
      </c>
      <c r="K76" s="224">
        <v>0</v>
      </c>
      <c r="L76" s="226">
        <v>0</v>
      </c>
      <c r="M76" s="224"/>
      <c r="N76" s="259">
        <v>0</v>
      </c>
      <c r="O76" s="103"/>
      <c r="P76" s="282">
        <v>0</v>
      </c>
      <c r="Q76" s="304">
        <v>0</v>
      </c>
      <c r="T76" s="287">
        <v>0</v>
      </c>
    </row>
    <row r="77" spans="1:20" ht="13.5" customHeight="1" x14ac:dyDescent="0.2">
      <c r="A77" s="29"/>
      <c r="C77" s="73"/>
      <c r="D77" s="219">
        <f>SUM(D75)</f>
        <v>25000</v>
      </c>
      <c r="E77" s="192">
        <f>SUM(E75:E76)</f>
        <v>15536</v>
      </c>
      <c r="F77" s="77">
        <f>SUM(F75:F76)</f>
        <v>15536</v>
      </c>
      <c r="G77" s="219">
        <f>SUM(G75:G76)</f>
        <v>25226</v>
      </c>
      <c r="H77" s="218">
        <f>SUM(H75:H76)</f>
        <v>17788.52</v>
      </c>
      <c r="I77" s="224"/>
      <c r="J77" s="219">
        <v>30000</v>
      </c>
      <c r="K77" s="268">
        <v>30000</v>
      </c>
      <c r="L77" s="218">
        <f>SUM(L75:L76)</f>
        <v>23778</v>
      </c>
      <c r="M77" s="224"/>
      <c r="N77" s="265">
        <f>SUM(N75:N76)</f>
        <v>30000</v>
      </c>
      <c r="O77" s="103"/>
      <c r="P77" s="282">
        <v>0</v>
      </c>
      <c r="Q77" s="304">
        <v>0</v>
      </c>
      <c r="T77" s="295">
        <f>SUM(T75:T76)</f>
        <v>30000</v>
      </c>
    </row>
    <row r="78" spans="1:20" ht="5.25" customHeight="1" x14ac:dyDescent="0.2">
      <c r="A78" s="29"/>
      <c r="C78" s="73"/>
      <c r="D78" s="187"/>
      <c r="E78" s="220"/>
      <c r="F78" s="73"/>
      <c r="G78" s="187"/>
      <c r="H78" s="220"/>
      <c r="I78" s="240"/>
      <c r="J78" s="187"/>
      <c r="K78" s="206"/>
      <c r="L78" s="220"/>
      <c r="M78" s="206"/>
      <c r="N78" s="259"/>
      <c r="O78" s="103"/>
      <c r="P78" s="282"/>
      <c r="Q78" s="304"/>
      <c r="T78" s="287"/>
    </row>
    <row r="79" spans="1:20" ht="15" x14ac:dyDescent="0.25">
      <c r="A79" s="127" t="s">
        <v>9</v>
      </c>
      <c r="C79" s="73"/>
      <c r="D79" s="187"/>
      <c r="E79" s="220"/>
      <c r="F79" s="73"/>
      <c r="G79" s="187"/>
      <c r="H79" s="220"/>
      <c r="I79" s="240"/>
      <c r="J79" s="187"/>
      <c r="K79" s="206"/>
      <c r="L79" s="220"/>
      <c r="M79" s="206"/>
      <c r="N79" s="259"/>
      <c r="O79" s="103"/>
      <c r="P79" s="282"/>
      <c r="Q79" s="304"/>
      <c r="T79" s="287"/>
    </row>
    <row r="80" spans="1:20" ht="8.25" customHeight="1" x14ac:dyDescent="0.2">
      <c r="A80" s="29"/>
      <c r="C80" s="73"/>
      <c r="D80" s="187"/>
      <c r="E80" s="220"/>
      <c r="F80" s="73"/>
      <c r="G80" s="187"/>
      <c r="H80" s="220"/>
      <c r="I80" s="240"/>
      <c r="J80" s="187"/>
      <c r="K80" s="206"/>
      <c r="L80" s="220"/>
      <c r="M80" s="206"/>
      <c r="N80" s="259"/>
      <c r="O80" s="103"/>
      <c r="P80" s="282"/>
      <c r="Q80" s="304"/>
      <c r="T80" s="287"/>
    </row>
    <row r="81" spans="1:20" ht="13.5" customHeight="1" x14ac:dyDescent="0.2">
      <c r="A81" s="29"/>
      <c r="B81" s="25" t="s">
        <v>10</v>
      </c>
      <c r="C81" s="73"/>
      <c r="D81" s="187">
        <v>1500</v>
      </c>
      <c r="E81" s="220">
        <v>700</v>
      </c>
      <c r="F81" s="73"/>
      <c r="G81" s="187">
        <v>1500</v>
      </c>
      <c r="H81" s="220">
        <v>769.28</v>
      </c>
      <c r="I81" s="224"/>
      <c r="J81" s="187">
        <v>1500</v>
      </c>
      <c r="K81" s="206">
        <v>1500</v>
      </c>
      <c r="L81" s="220">
        <v>1950.52</v>
      </c>
      <c r="M81" s="206"/>
      <c r="N81" s="259">
        <v>2000</v>
      </c>
      <c r="O81" s="103"/>
      <c r="P81" s="282">
        <f>SUM(N81-J81)</f>
        <v>500</v>
      </c>
      <c r="Q81" s="306">
        <f>SUM(P81/J81)</f>
        <v>0.33333333333333331</v>
      </c>
      <c r="T81" s="287">
        <v>2000</v>
      </c>
    </row>
    <row r="82" spans="1:20" ht="13.5" customHeight="1" x14ac:dyDescent="0.2">
      <c r="A82" s="29"/>
      <c r="C82" s="73"/>
      <c r="D82" s="191">
        <v>1500</v>
      </c>
      <c r="E82" s="201">
        <v>700</v>
      </c>
      <c r="F82" s="73"/>
      <c r="G82" s="191">
        <f>SUM(G81)</f>
        <v>1500</v>
      </c>
      <c r="H82" s="201">
        <f>SUM(H81)</f>
        <v>769.28</v>
      </c>
      <c r="I82" s="224"/>
      <c r="J82" s="200">
        <v>1500</v>
      </c>
      <c r="K82" s="227">
        <v>1500</v>
      </c>
      <c r="L82" s="201">
        <f>SUM(L81)</f>
        <v>1950.52</v>
      </c>
      <c r="M82" s="206"/>
      <c r="N82" s="265">
        <f>SUM(N81)</f>
        <v>2000</v>
      </c>
      <c r="O82" s="103"/>
      <c r="P82" s="282">
        <f>SUM(N82-J82)</f>
        <v>500</v>
      </c>
      <c r="Q82" s="306">
        <f>SUM(P82/J82)</f>
        <v>0.33333333333333331</v>
      </c>
      <c r="T82" s="295">
        <f>SUM(T81)</f>
        <v>2000</v>
      </c>
    </row>
    <row r="83" spans="1:20" ht="13.5" customHeight="1" x14ac:dyDescent="0.2">
      <c r="A83" s="29"/>
      <c r="C83" s="73"/>
      <c r="D83" s="187"/>
      <c r="E83" s="220"/>
      <c r="F83" s="73"/>
      <c r="G83" s="187"/>
      <c r="H83" s="220"/>
      <c r="I83" s="224"/>
      <c r="J83" s="187"/>
      <c r="K83" s="206"/>
      <c r="L83" s="220"/>
      <c r="M83" s="206"/>
      <c r="N83" s="257"/>
      <c r="O83" s="103"/>
      <c r="P83" s="282"/>
      <c r="Q83" s="306"/>
      <c r="T83" s="286"/>
    </row>
    <row r="84" spans="1:20" ht="12.75" thickBot="1" x14ac:dyDescent="0.25">
      <c r="B84" s="128" t="s">
        <v>12</v>
      </c>
      <c r="C84" s="78"/>
      <c r="D84" s="221">
        <f>SUM(D71+D77+D82)</f>
        <v>374866.36</v>
      </c>
      <c r="E84" s="203">
        <f>SUM(E71+E77+E82)</f>
        <v>364603.13</v>
      </c>
      <c r="F84" s="73"/>
      <c r="G84" s="221">
        <f>SUM(G71+G77+G82)</f>
        <v>414254.42</v>
      </c>
      <c r="H84" s="242">
        <f>SUM(H71+H77+H82)</f>
        <v>406086.22000000003</v>
      </c>
      <c r="I84" s="224"/>
      <c r="J84" s="221">
        <v>501862.28224712005</v>
      </c>
      <c r="K84" s="243">
        <v>501862.28224712005</v>
      </c>
      <c r="L84" s="242">
        <f>SUM(L82+L77+L71)</f>
        <v>494890</v>
      </c>
      <c r="M84" s="244"/>
      <c r="N84" s="269">
        <f>N82+N77+N71</f>
        <v>546781.09951840003</v>
      </c>
      <c r="O84" s="123"/>
      <c r="P84" s="282">
        <f>SUM(N84-J84)</f>
        <v>44918.817271279986</v>
      </c>
      <c r="Q84" s="306">
        <f>SUM(P84/J84)</f>
        <v>8.9504270116003037E-2</v>
      </c>
      <c r="T84" s="290">
        <f>SUM(T71+T77+T82)</f>
        <v>574464.40586199204</v>
      </c>
    </row>
    <row r="85" spans="1:20" ht="8.25" customHeight="1" thickTop="1" thickBot="1" x14ac:dyDescent="0.25">
      <c r="B85" s="29"/>
      <c r="D85" s="222"/>
      <c r="E85" s="205"/>
      <c r="G85" s="222"/>
      <c r="H85" s="270"/>
      <c r="I85" s="240"/>
      <c r="J85" s="222"/>
      <c r="K85" s="271"/>
      <c r="L85" s="270"/>
      <c r="M85" s="255"/>
      <c r="N85" s="272"/>
      <c r="O85" s="124"/>
      <c r="P85" s="285"/>
      <c r="Q85" s="309"/>
      <c r="T85" s="291"/>
    </row>
    <row r="86" spans="1:20" ht="5.25" customHeight="1" x14ac:dyDescent="0.2">
      <c r="B86" s="29"/>
      <c r="D86" s="207"/>
      <c r="E86" s="210"/>
      <c r="G86" s="207"/>
      <c r="H86" s="207"/>
      <c r="I86" s="237"/>
      <c r="J86" s="207"/>
      <c r="K86" s="207"/>
      <c r="L86" s="207"/>
      <c r="M86" s="207"/>
      <c r="N86" s="207"/>
      <c r="O86" s="41"/>
      <c r="P86" s="207"/>
      <c r="Q86" s="41"/>
      <c r="T86" s="292"/>
    </row>
    <row r="87" spans="1:20" s="34" customFormat="1" ht="15" x14ac:dyDescent="0.25">
      <c r="A87" s="129" t="s">
        <v>44</v>
      </c>
      <c r="B87" s="79"/>
      <c r="C87" s="80"/>
      <c r="D87" s="223">
        <v>0</v>
      </c>
      <c r="E87" s="223">
        <f>SUM(E84-E55)</f>
        <v>6063.5900000000256</v>
      </c>
      <c r="F87" s="80"/>
      <c r="G87" s="223">
        <f>SUM(G84-G55)</f>
        <v>-56000</v>
      </c>
      <c r="H87" s="223">
        <f>SUM(H84-H55)</f>
        <v>-55712.909999999916</v>
      </c>
      <c r="I87" s="229"/>
      <c r="J87" s="223">
        <v>-24999.99638707994</v>
      </c>
      <c r="K87" s="223">
        <v>-24999.99638707994</v>
      </c>
      <c r="L87" s="223">
        <f>SUM(L84-L55)</f>
        <v>1907.7875999999815</v>
      </c>
      <c r="M87" s="223"/>
      <c r="N87" s="223">
        <f>SUM(N84-N55)</f>
        <v>-10000</v>
      </c>
      <c r="O87" s="81"/>
      <c r="P87" s="223"/>
      <c r="Q87" s="81"/>
      <c r="T87" s="223">
        <f>SUM(T84-T55)</f>
        <v>0</v>
      </c>
    </row>
    <row r="88" spans="1:20" s="34" customFormat="1" x14ac:dyDescent="0.2">
      <c r="A88" s="180" t="s">
        <v>239</v>
      </c>
      <c r="B88" s="79"/>
      <c r="C88" s="80"/>
      <c r="D88" s="223"/>
      <c r="E88" s="223"/>
      <c r="F88" s="80"/>
      <c r="G88" s="223"/>
      <c r="H88" s="223"/>
      <c r="I88" s="229"/>
      <c r="J88" s="223"/>
      <c r="K88" s="223"/>
      <c r="L88" s="223"/>
      <c r="M88" s="223"/>
      <c r="N88" s="223"/>
      <c r="O88" s="81"/>
      <c r="P88" s="223"/>
      <c r="Q88" s="81"/>
      <c r="T88" s="223"/>
    </row>
    <row r="89" spans="1:20" ht="6" customHeight="1" x14ac:dyDescent="0.2">
      <c r="B89" s="29"/>
      <c r="D89" s="31"/>
      <c r="G89" s="255"/>
      <c r="H89" s="255"/>
      <c r="I89" s="273"/>
      <c r="J89" s="255"/>
      <c r="K89" s="255"/>
      <c r="L89" s="255"/>
      <c r="M89" s="255"/>
      <c r="N89" s="255"/>
      <c r="O89" s="31"/>
      <c r="P89" s="31"/>
      <c r="Q89" s="31"/>
      <c r="T89" s="255"/>
    </row>
    <row r="90" spans="1:20" ht="3.75" customHeight="1" x14ac:dyDescent="0.2">
      <c r="A90" s="82"/>
      <c r="B90" s="83"/>
      <c r="C90" s="84"/>
      <c r="D90" s="85"/>
      <c r="E90" s="86"/>
      <c r="F90" s="86"/>
      <c r="G90" s="274"/>
      <c r="H90" s="274"/>
      <c r="I90" s="229"/>
      <c r="J90" s="274"/>
      <c r="K90" s="274"/>
      <c r="L90" s="274"/>
      <c r="M90" s="274"/>
      <c r="N90" s="274"/>
      <c r="O90" s="85"/>
      <c r="P90" s="85"/>
      <c r="Q90" s="85"/>
      <c r="T90" s="274"/>
    </row>
    <row r="91" spans="1:20" ht="7.5" customHeight="1" x14ac:dyDescent="0.2">
      <c r="B91" s="29"/>
      <c r="D91" s="31"/>
      <c r="G91" s="229"/>
      <c r="H91" s="273"/>
      <c r="I91" s="273"/>
      <c r="J91" s="273"/>
      <c r="K91" s="273"/>
      <c r="L91" s="273"/>
      <c r="M91" s="273"/>
      <c r="N91" s="273"/>
      <c r="O91" s="42"/>
      <c r="P91" s="42"/>
      <c r="Q91" s="42"/>
      <c r="T91" s="273"/>
    </row>
    <row r="92" spans="1:20" ht="15" x14ac:dyDescent="0.25">
      <c r="A92" s="181" t="s">
        <v>190</v>
      </c>
      <c r="B92" s="88"/>
      <c r="C92" s="89"/>
      <c r="D92" s="89"/>
      <c r="E92" s="89"/>
      <c r="F92" s="89"/>
      <c r="G92" s="275"/>
      <c r="H92" s="275"/>
      <c r="I92" s="275"/>
      <c r="J92" s="275"/>
      <c r="K92" s="275"/>
      <c r="L92" s="275"/>
      <c r="M92" s="275"/>
      <c r="N92" s="275"/>
      <c r="O92" s="89"/>
      <c r="P92" s="89"/>
      <c r="Q92" s="89"/>
      <c r="T92" s="275"/>
    </row>
    <row r="93" spans="1:20" ht="4.5" customHeight="1" x14ac:dyDescent="0.2">
      <c r="A93" s="87"/>
      <c r="B93" s="88"/>
      <c r="C93" s="89"/>
      <c r="D93" s="89"/>
      <c r="E93" s="89"/>
      <c r="F93" s="89"/>
      <c r="G93" s="275"/>
      <c r="H93" s="275"/>
      <c r="I93" s="275"/>
      <c r="J93" s="275"/>
      <c r="K93" s="275"/>
      <c r="L93" s="275"/>
      <c r="M93" s="275"/>
      <c r="N93" s="275"/>
      <c r="O93" s="89"/>
      <c r="P93" s="89"/>
      <c r="Q93" s="89"/>
      <c r="T93" s="275"/>
    </row>
    <row r="94" spans="1:20" x14ac:dyDescent="0.2">
      <c r="A94" s="88" t="s">
        <v>38</v>
      </c>
      <c r="B94" s="87"/>
      <c r="C94" s="90"/>
      <c r="D94" s="91"/>
      <c r="E94" s="182">
        <v>196618</v>
      </c>
      <c r="F94" s="183"/>
      <c r="G94" s="276"/>
      <c r="H94" s="276">
        <f>SUM(E94+H87)</f>
        <v>140905.09000000008</v>
      </c>
      <c r="I94" s="276"/>
      <c r="J94" s="276"/>
      <c r="K94" s="276"/>
      <c r="L94" s="276">
        <f>SUM(H94+L87)</f>
        <v>142812.87760000007</v>
      </c>
      <c r="M94" s="276"/>
      <c r="N94" s="276">
        <f>SUM(L94+N87)</f>
        <v>132812.87760000007</v>
      </c>
      <c r="O94" s="182"/>
      <c r="P94" s="182"/>
      <c r="Q94" s="182"/>
      <c r="T94" s="276">
        <f>SUM(N94+T87)</f>
        <v>132812.87760000007</v>
      </c>
    </row>
    <row r="95" spans="1:20" x14ac:dyDescent="0.2">
      <c r="A95" s="92"/>
      <c r="B95" s="93"/>
      <c r="C95" s="59"/>
      <c r="D95" s="56"/>
      <c r="E95" s="56"/>
      <c r="F95" s="59"/>
      <c r="G95" s="66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20" s="28" customFormat="1" ht="12.75" x14ac:dyDescent="0.2">
      <c r="A96" s="94"/>
      <c r="B96" s="25"/>
      <c r="C96" s="25"/>
      <c r="D96" s="95"/>
      <c r="E96" s="34"/>
      <c r="F96" s="34"/>
      <c r="G96" s="25"/>
    </row>
    <row r="97" spans="1:20" s="28" customFormat="1" ht="3" customHeight="1" x14ac:dyDescent="0.2">
      <c r="A97" s="94"/>
      <c r="B97" s="25"/>
      <c r="C97" s="25"/>
      <c r="D97" s="34"/>
      <c r="E97" s="34"/>
      <c r="F97" s="34"/>
      <c r="G97" s="25"/>
      <c r="H97" s="25"/>
    </row>
    <row r="98" spans="1:20" x14ac:dyDescent="0.2">
      <c r="A98" s="96"/>
      <c r="C98" s="25"/>
      <c r="D98" s="34"/>
      <c r="E98" s="34"/>
      <c r="F98" s="34"/>
      <c r="G98" s="25"/>
      <c r="N98" s="105"/>
      <c r="T98" s="359"/>
    </row>
    <row r="99" spans="1:20" x14ac:dyDescent="0.2">
      <c r="C99" s="25"/>
      <c r="D99" s="34"/>
      <c r="E99" s="34"/>
      <c r="F99" s="34"/>
      <c r="G99" s="25"/>
    </row>
    <row r="102" spans="1:20" x14ac:dyDescent="0.2">
      <c r="A102" s="96"/>
    </row>
    <row r="103" spans="1:20" x14ac:dyDescent="0.2">
      <c r="A103" s="96"/>
    </row>
    <row r="104" spans="1:20" x14ac:dyDescent="0.2">
      <c r="A104" s="29"/>
    </row>
    <row r="105" spans="1:20" x14ac:dyDescent="0.2">
      <c r="A105" s="29"/>
      <c r="B105" s="97"/>
    </row>
    <row r="106" spans="1:20" x14ac:dyDescent="0.2">
      <c r="A106" s="29"/>
      <c r="B106" s="97"/>
    </row>
    <row r="107" spans="1:20" x14ac:dyDescent="0.2">
      <c r="A107" s="29"/>
      <c r="B107" s="98"/>
    </row>
    <row r="109" spans="1:20" x14ac:dyDescent="0.2">
      <c r="A109" s="29"/>
    </row>
    <row r="136" spans="3:5" x14ac:dyDescent="0.2">
      <c r="C136" s="27"/>
    </row>
    <row r="137" spans="3:5" x14ac:dyDescent="0.2">
      <c r="D137" s="26"/>
      <c r="E137" s="26"/>
    </row>
    <row r="138" spans="3:5" x14ac:dyDescent="0.2">
      <c r="D138" s="26"/>
      <c r="E138" s="26"/>
    </row>
    <row r="139" spans="3:5" x14ac:dyDescent="0.2">
      <c r="D139" s="26"/>
      <c r="E139" s="26"/>
    </row>
    <row r="140" spans="3:5" x14ac:dyDescent="0.2">
      <c r="D140" s="26"/>
      <c r="E140" s="26"/>
    </row>
    <row r="141" spans="3:5" x14ac:dyDescent="0.2">
      <c r="D141" s="26"/>
      <c r="E141" s="26"/>
    </row>
  </sheetData>
  <phoneticPr fontId="0" type="noConversion"/>
  <pageMargins left="0.22" right="0.2" top="0.4" bottom="0.25" header="0.05" footer="0.05"/>
  <pageSetup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C31" sqref="C31"/>
    </sheetView>
  </sheetViews>
  <sheetFormatPr defaultRowHeight="12.75" x14ac:dyDescent="0.2"/>
  <cols>
    <col min="1" max="1" width="4.7109375" style="1" customWidth="1"/>
    <col min="2" max="2" width="18.140625" style="1" customWidth="1"/>
    <col min="3" max="3" width="38.42578125" style="1" customWidth="1"/>
    <col min="4" max="4" width="18.85546875" style="1" customWidth="1"/>
    <col min="5" max="5" width="4.5703125" style="1" customWidth="1"/>
    <col min="6" max="6" width="15.140625" style="1" customWidth="1"/>
    <col min="7" max="7" width="13.5703125" style="1" customWidth="1"/>
    <col min="8" max="8" width="15.140625" style="1" customWidth="1"/>
    <col min="9" max="9" width="14.85546875" style="1" customWidth="1"/>
    <col min="10" max="10" width="10.42578125" style="1" bestFit="1" customWidth="1"/>
    <col min="11" max="11" width="13.85546875" style="1" customWidth="1"/>
    <col min="12" max="12" width="2.85546875" style="1" customWidth="1"/>
    <col min="13" max="13" width="9.140625" style="1"/>
    <col min="14" max="14" width="10.7109375" style="1" bestFit="1" customWidth="1"/>
    <col min="15" max="15" width="10.7109375" style="1" customWidth="1"/>
    <col min="16" max="16" width="2.85546875" style="1" customWidth="1"/>
    <col min="17" max="17" width="10.7109375" style="1" customWidth="1"/>
    <col min="18" max="18" width="11.28515625" style="1" bestFit="1" customWidth="1"/>
    <col min="19" max="19" width="12.85546875" style="1" bestFit="1" customWidth="1"/>
    <col min="20" max="20" width="14" style="1" bestFit="1" customWidth="1"/>
    <col min="21" max="21" width="11.140625" style="1" bestFit="1" customWidth="1"/>
    <col min="22" max="22" width="8.85546875" style="1" customWidth="1"/>
    <col min="23" max="23" width="15" style="1" customWidth="1"/>
    <col min="24" max="24" width="14.85546875" style="1" bestFit="1" customWidth="1"/>
    <col min="25" max="25" width="3.42578125" style="1" customWidth="1"/>
    <col min="26" max="26" width="16.42578125" style="1" customWidth="1"/>
    <col min="27" max="27" width="14.85546875" style="1" bestFit="1" customWidth="1"/>
    <col min="28" max="28" width="4.28515625" style="1" customWidth="1"/>
    <col min="29" max="29" width="10.42578125" style="1" customWidth="1"/>
    <col min="30" max="30" width="9.85546875" style="1" bestFit="1" customWidth="1"/>
    <col min="31" max="33" width="9.28515625" style="1" bestFit="1" customWidth="1"/>
    <col min="34" max="34" width="11.28515625" style="1" bestFit="1" customWidth="1"/>
    <col min="35" max="16384" width="9.140625" style="1"/>
  </cols>
  <sheetData>
    <row r="1" spans="1:11" ht="18.75" x14ac:dyDescent="0.3">
      <c r="A1" s="133" t="s">
        <v>201</v>
      </c>
      <c r="F1" s="324" t="s">
        <v>208</v>
      </c>
      <c r="G1" s="324"/>
      <c r="H1" s="324"/>
      <c r="I1" s="324"/>
      <c r="J1" s="324"/>
      <c r="K1" s="323"/>
    </row>
    <row r="2" spans="1:11" ht="15.75" x14ac:dyDescent="0.25">
      <c r="B2" s="313"/>
    </row>
    <row r="3" spans="1:11" ht="15" x14ac:dyDescent="0.25">
      <c r="B3" s="324" t="s">
        <v>202</v>
      </c>
      <c r="C3" s="325"/>
      <c r="D3" s="325"/>
      <c r="F3" s="322" t="s">
        <v>59</v>
      </c>
      <c r="G3" s="336" t="s">
        <v>57</v>
      </c>
      <c r="H3" s="336" t="s">
        <v>58</v>
      </c>
      <c r="I3" s="336" t="s">
        <v>61</v>
      </c>
      <c r="J3" s="317" t="s">
        <v>56</v>
      </c>
    </row>
    <row r="4" spans="1:11" ht="15.75" x14ac:dyDescent="0.25">
      <c r="B4" s="313"/>
      <c r="F4" s="13" t="s">
        <v>222</v>
      </c>
      <c r="G4" s="331">
        <v>0.20219999999999999</v>
      </c>
      <c r="H4" s="332">
        <v>8.4900000000000003E-2</v>
      </c>
      <c r="I4" s="353">
        <f>B9</f>
        <v>80332.800000000003</v>
      </c>
      <c r="J4" s="4">
        <f>SUM(I4*H4)</f>
        <v>6820.2547200000008</v>
      </c>
    </row>
    <row r="5" spans="1:11" x14ac:dyDescent="0.2">
      <c r="B5" s="315" t="s">
        <v>203</v>
      </c>
      <c r="C5" s="315"/>
      <c r="D5" s="315"/>
      <c r="F5" s="13" t="s">
        <v>52</v>
      </c>
      <c r="G5" s="331">
        <v>0.24049999999999999</v>
      </c>
      <c r="H5" s="332">
        <v>0.19220000000000001</v>
      </c>
      <c r="I5" s="333">
        <f>B13</f>
        <v>137924.80000000002</v>
      </c>
      <c r="J5" s="4">
        <f>SUM(I5*H5)</f>
        <v>26509.146560000005</v>
      </c>
    </row>
    <row r="6" spans="1:11" x14ac:dyDescent="0.2">
      <c r="B6" s="315"/>
      <c r="C6" s="315"/>
      <c r="D6" s="315"/>
      <c r="F6" s="349" t="s">
        <v>223</v>
      </c>
      <c r="G6" s="350">
        <v>0.24049999999999999</v>
      </c>
      <c r="H6" s="351">
        <v>8.4900000000000003E-2</v>
      </c>
      <c r="I6" s="352">
        <f>B21</f>
        <v>49842.935999999994</v>
      </c>
      <c r="J6" s="354">
        <f>SUM(I6*H6)</f>
        <v>4231.6652663999994</v>
      </c>
    </row>
    <row r="7" spans="1:11" x14ac:dyDescent="0.2">
      <c r="B7" s="319">
        <f>SUM((38.04*80)*(18))</f>
        <v>54777.599999999999</v>
      </c>
      <c r="C7" s="7" t="s">
        <v>138</v>
      </c>
      <c r="D7" s="1">
        <f>SUM(36.93)+(36.93*3%)</f>
        <v>38.0379</v>
      </c>
      <c r="F7" s="335"/>
    </row>
    <row r="8" spans="1:11" ht="15.75" thickBot="1" x14ac:dyDescent="0.3">
      <c r="B8" s="320">
        <f>SUM((39.93*80)*(8))</f>
        <v>25555.200000000001</v>
      </c>
      <c r="C8" s="7" t="s">
        <v>196</v>
      </c>
      <c r="D8" s="1">
        <f>SUM(38.77)+(38.77*3%)</f>
        <v>39.933100000000003</v>
      </c>
      <c r="F8" s="174">
        <f>SUM(J4:J6)</f>
        <v>37561.066546400005</v>
      </c>
      <c r="H8" s="1" t="s">
        <v>221</v>
      </c>
    </row>
    <row r="9" spans="1:11" ht="13.5" thickTop="1" x14ac:dyDescent="0.2">
      <c r="B9" s="321">
        <f>SUM(B7:B8)</f>
        <v>80332.800000000003</v>
      </c>
      <c r="C9" s="7"/>
      <c r="D9" s="7"/>
    </row>
    <row r="10" spans="1:11" ht="15" x14ac:dyDescent="0.25">
      <c r="B10" s="314"/>
      <c r="C10" s="7"/>
      <c r="D10" s="7"/>
      <c r="F10" s="324" t="s">
        <v>198</v>
      </c>
      <c r="G10" s="324"/>
      <c r="H10" s="323"/>
      <c r="I10" s="323"/>
      <c r="J10" s="323"/>
      <c r="K10" s="323"/>
    </row>
    <row r="11" spans="1:11" x14ac:dyDescent="0.2">
      <c r="B11" s="316" t="s">
        <v>204</v>
      </c>
      <c r="C11" s="317"/>
      <c r="D11" s="317"/>
    </row>
    <row r="12" spans="1:11" x14ac:dyDescent="0.2">
      <c r="B12" s="316"/>
      <c r="C12" s="317"/>
      <c r="D12" s="317"/>
      <c r="F12" s="315" t="s">
        <v>206</v>
      </c>
      <c r="G12" s="315"/>
      <c r="H12" s="315"/>
      <c r="I12" s="315"/>
      <c r="J12" s="315"/>
    </row>
    <row r="13" spans="1:11" x14ac:dyDescent="0.2">
      <c r="B13" s="4">
        <f>SUM((66.31*80)*(26))</f>
        <v>137924.80000000002</v>
      </c>
      <c r="C13" s="1" t="s">
        <v>50</v>
      </c>
      <c r="D13" s="1">
        <f>SUM(64.38)+(64.38*3%)</f>
        <v>66.311399999999992</v>
      </c>
      <c r="F13" s="334">
        <v>15615</v>
      </c>
    </row>
    <row r="14" spans="1:11" ht="15" x14ac:dyDescent="0.35">
      <c r="B14" s="5">
        <f>SUM(66.31*60)</f>
        <v>3978.6000000000004</v>
      </c>
      <c r="C14" s="1" t="s">
        <v>49</v>
      </c>
      <c r="D14" s="172">
        <v>66.311000000000007</v>
      </c>
    </row>
    <row r="15" spans="1:11" ht="15.75" thickBot="1" x14ac:dyDescent="0.3">
      <c r="B15" s="177">
        <f>SUM(B13:B14)</f>
        <v>141903.40000000002</v>
      </c>
      <c r="F15" s="327">
        <f>SUM(F13)</f>
        <v>15615</v>
      </c>
      <c r="H15" s="1" t="s">
        <v>213</v>
      </c>
    </row>
    <row r="16" spans="1:11" ht="13.5" thickTop="1" x14ac:dyDescent="0.2"/>
    <row r="17" spans="2:17" x14ac:dyDescent="0.2">
      <c r="B17" s="315" t="s">
        <v>210</v>
      </c>
      <c r="C17" s="315"/>
      <c r="D17" s="315"/>
    </row>
    <row r="18" spans="2:17" ht="15" x14ac:dyDescent="0.25">
      <c r="B18" s="315"/>
      <c r="C18" s="315"/>
      <c r="D18" s="315"/>
      <c r="F18" s="324" t="s">
        <v>205</v>
      </c>
      <c r="G18" s="324"/>
      <c r="H18" s="323"/>
      <c r="I18" s="323"/>
      <c r="J18" s="323"/>
      <c r="K18" s="323"/>
    </row>
    <row r="19" spans="2:17" x14ac:dyDescent="0.2">
      <c r="B19" s="4">
        <f>SUM((D19*60)*(13))</f>
        <v>24375.155999999999</v>
      </c>
      <c r="C19" s="1" t="s">
        <v>137</v>
      </c>
      <c r="D19" s="1">
        <f>SUM(30.34)+(30.34*3%)</f>
        <v>31.2502</v>
      </c>
    </row>
    <row r="20" spans="2:17" x14ac:dyDescent="0.2">
      <c r="B20" s="171">
        <f>SUM((D20*60)*(13))</f>
        <v>25467.779999999995</v>
      </c>
      <c r="C20" s="1" t="s">
        <v>137</v>
      </c>
      <c r="D20" s="172">
        <f>SUM(31.7)+(31.7*3%)</f>
        <v>32.650999999999996</v>
      </c>
      <c r="F20" s="322" t="s">
        <v>55</v>
      </c>
      <c r="G20" s="322" t="s">
        <v>207</v>
      </c>
      <c r="H20" s="315"/>
      <c r="I20" s="315"/>
      <c r="J20" s="315"/>
    </row>
    <row r="21" spans="2:17" x14ac:dyDescent="0.2">
      <c r="B21" s="177">
        <f>SUM(B19:B20)</f>
        <v>49842.935999999994</v>
      </c>
      <c r="F21" s="14">
        <v>1.4500000000000001E-2</v>
      </c>
      <c r="G21" s="328">
        <f>SUM(B9+B13+B21)</f>
        <v>268100.53600000002</v>
      </c>
    </row>
    <row r="22" spans="2:17" x14ac:dyDescent="0.2">
      <c r="B22" s="177"/>
    </row>
    <row r="23" spans="2:17" ht="15.75" thickBot="1" x14ac:dyDescent="0.3">
      <c r="B23" s="1" t="s">
        <v>211</v>
      </c>
      <c r="F23" s="337">
        <f>SUM(G21*F21)</f>
        <v>3887.4577720000007</v>
      </c>
    </row>
    <row r="24" spans="2:17" ht="13.5" thickTop="1" x14ac:dyDescent="0.2">
      <c r="B24" s="1" t="s">
        <v>212</v>
      </c>
    </row>
    <row r="25" spans="2:17" ht="15" x14ac:dyDescent="0.25">
      <c r="F25" s="324" t="s">
        <v>1</v>
      </c>
      <c r="G25" s="324"/>
      <c r="H25" s="323"/>
      <c r="I25" s="323"/>
      <c r="J25" s="323"/>
      <c r="K25" s="323"/>
    </row>
    <row r="26" spans="2:17" x14ac:dyDescent="0.2">
      <c r="B26" s="318" t="s">
        <v>225</v>
      </c>
      <c r="C26" s="315"/>
      <c r="D26" s="315"/>
    </row>
    <row r="27" spans="2:17" x14ac:dyDescent="0.2">
      <c r="B27" s="130">
        <v>10000</v>
      </c>
      <c r="F27" s="322" t="s">
        <v>62</v>
      </c>
      <c r="G27" s="322" t="s">
        <v>63</v>
      </c>
      <c r="H27" s="315"/>
      <c r="I27" s="315"/>
      <c r="J27" s="315"/>
      <c r="Q27" s="329"/>
    </row>
    <row r="28" spans="2:17" x14ac:dyDescent="0.2">
      <c r="B28" s="177"/>
      <c r="F28" s="328">
        <v>1730</v>
      </c>
      <c r="G28" s="4">
        <f>SUM((F28)+(F28*3%))</f>
        <v>1781.9</v>
      </c>
      <c r="K28" s="330"/>
      <c r="M28" s="330"/>
      <c r="N28" s="330"/>
      <c r="O28" s="330"/>
      <c r="Q28" s="330"/>
    </row>
    <row r="29" spans="2:17" ht="15.75" thickBot="1" x14ac:dyDescent="0.3">
      <c r="B29" s="326">
        <f>SUM(B9+B15+B21+B27)</f>
        <v>282079.136</v>
      </c>
      <c r="F29" s="13"/>
      <c r="K29" s="330"/>
      <c r="M29" s="330"/>
      <c r="N29" s="330"/>
      <c r="O29" s="330"/>
      <c r="Q29" s="330"/>
    </row>
    <row r="30" spans="2:17" ht="16.5" thickTop="1" thickBot="1" x14ac:dyDescent="0.3">
      <c r="F30" s="174">
        <v>1744.21</v>
      </c>
      <c r="G30" s="330"/>
      <c r="H30" s="1" t="s">
        <v>214</v>
      </c>
      <c r="K30" s="330"/>
      <c r="M30" s="330"/>
      <c r="N30" s="330"/>
      <c r="O30" s="330"/>
      <c r="P30" s="330"/>
      <c r="Q30" s="330"/>
    </row>
    <row r="31" spans="2:17" ht="13.5" thickTop="1" x14ac:dyDescent="0.2">
      <c r="K31" s="329"/>
      <c r="M31" s="330"/>
      <c r="N31" s="330"/>
      <c r="O31" s="330"/>
      <c r="P31" s="330"/>
      <c r="Q31" s="330"/>
    </row>
    <row r="32" spans="2:17" ht="15" x14ac:dyDescent="0.25">
      <c r="F32" s="324" t="s">
        <v>17</v>
      </c>
      <c r="G32" s="324"/>
      <c r="H32" s="323"/>
      <c r="I32" s="323"/>
      <c r="J32" s="323"/>
      <c r="K32" s="323"/>
      <c r="M32" s="330"/>
      <c r="N32" s="330"/>
      <c r="O32" s="330"/>
      <c r="P32" s="330"/>
      <c r="Q32" s="330"/>
    </row>
    <row r="33" spans="2:21" x14ac:dyDescent="0.2">
      <c r="B33" s="360"/>
    </row>
    <row r="34" spans="2:21" x14ac:dyDescent="0.2">
      <c r="B34" s="360"/>
      <c r="F34" s="322" t="s">
        <v>62</v>
      </c>
      <c r="G34" s="322" t="s">
        <v>63</v>
      </c>
      <c r="H34" s="315"/>
      <c r="I34" s="315"/>
      <c r="J34" s="315"/>
    </row>
    <row r="35" spans="2:21" x14ac:dyDescent="0.2">
      <c r="C35" s="4"/>
      <c r="F35" s="328">
        <v>3500</v>
      </c>
      <c r="G35" s="134">
        <f>SUM((F35)+(F35*3%))</f>
        <v>3605</v>
      </c>
      <c r="S35" s="329"/>
      <c r="T35" s="329"/>
      <c r="U35" s="329"/>
    </row>
    <row r="36" spans="2:21" x14ac:dyDescent="0.2">
      <c r="C36" s="4"/>
      <c r="F36" s="330"/>
      <c r="G36" s="330"/>
      <c r="S36" s="329"/>
      <c r="T36" s="329"/>
      <c r="U36" s="329"/>
    </row>
    <row r="37" spans="2:21" x14ac:dyDescent="0.2">
      <c r="C37" s="4"/>
      <c r="F37" s="330"/>
      <c r="S37" s="329"/>
      <c r="T37" s="329"/>
      <c r="U37" s="329"/>
    </row>
    <row r="38" spans="2:21" ht="15.75" thickBot="1" x14ac:dyDescent="0.3">
      <c r="F38" s="175">
        <f>SUM(G35)</f>
        <v>3605</v>
      </c>
      <c r="H38" s="1" t="s">
        <v>215</v>
      </c>
      <c r="S38" s="329"/>
      <c r="T38" s="329"/>
      <c r="U38" s="329"/>
    </row>
    <row r="39" spans="2:21" ht="13.5" thickTop="1" x14ac:dyDescent="0.2">
      <c r="S39" s="329"/>
      <c r="T39" s="329"/>
      <c r="U39" s="329"/>
    </row>
    <row r="40" spans="2:21" ht="15" x14ac:dyDescent="0.25">
      <c r="F40" s="324" t="s">
        <v>209</v>
      </c>
      <c r="G40" s="323"/>
      <c r="H40" s="323"/>
      <c r="I40" s="323"/>
      <c r="J40" s="323"/>
      <c r="K40" s="323"/>
      <c r="S40" s="329"/>
      <c r="T40" s="329"/>
      <c r="U40" s="329"/>
    </row>
    <row r="42" spans="2:21" x14ac:dyDescent="0.2">
      <c r="F42" s="9" t="s">
        <v>59</v>
      </c>
      <c r="G42" s="10" t="s">
        <v>64</v>
      </c>
      <c r="H42" s="10" t="s">
        <v>65</v>
      </c>
      <c r="I42" s="10" t="s">
        <v>66</v>
      </c>
      <c r="J42" s="10" t="s">
        <v>67</v>
      </c>
      <c r="K42" s="10" t="s">
        <v>68</v>
      </c>
    </row>
    <row r="43" spans="2:21" x14ac:dyDescent="0.2">
      <c r="F43" s="1" t="s">
        <v>51</v>
      </c>
      <c r="G43" s="15">
        <v>8488.2199999999993</v>
      </c>
      <c r="H43" s="7">
        <v>627.38</v>
      </c>
      <c r="I43" s="7">
        <v>35.880000000000003</v>
      </c>
      <c r="J43" s="7">
        <v>66.3</v>
      </c>
      <c r="K43" s="15">
        <v>0</v>
      </c>
    </row>
    <row r="44" spans="2:21" x14ac:dyDescent="0.2">
      <c r="C44" s="23"/>
      <c r="D44" s="24"/>
      <c r="F44" s="1" t="s">
        <v>69</v>
      </c>
      <c r="G44" s="15">
        <v>12039.82</v>
      </c>
      <c r="H44" s="7">
        <v>1858.74</v>
      </c>
      <c r="I44" s="7">
        <v>258.7</v>
      </c>
      <c r="J44" s="7">
        <v>211.9</v>
      </c>
      <c r="K44" s="15">
        <v>0</v>
      </c>
    </row>
    <row r="45" spans="2:21" x14ac:dyDescent="0.2">
      <c r="B45" s="11"/>
      <c r="E45" s="24"/>
      <c r="F45" s="356" t="s">
        <v>53</v>
      </c>
      <c r="G45" s="357">
        <v>8488.2199999999993</v>
      </c>
      <c r="H45" s="358">
        <v>627.38</v>
      </c>
      <c r="I45" s="358">
        <v>35.880000000000003</v>
      </c>
      <c r="J45" s="358">
        <v>66.3</v>
      </c>
      <c r="K45" s="357">
        <v>0</v>
      </c>
    </row>
    <row r="46" spans="2:21" x14ac:dyDescent="0.2">
      <c r="B46" s="11"/>
      <c r="E46" s="24"/>
      <c r="F46" s="335"/>
      <c r="G46" s="355"/>
      <c r="H46" s="311"/>
      <c r="I46" s="311"/>
      <c r="J46" s="311"/>
      <c r="K46" s="355"/>
    </row>
    <row r="47" spans="2:21" x14ac:dyDescent="0.2">
      <c r="G47" s="6">
        <f>SUM(G43:G46)</f>
        <v>29016.260000000002</v>
      </c>
      <c r="H47" s="6">
        <f>SUM(H43:H46)</f>
        <v>3113.5</v>
      </c>
      <c r="I47" s="6">
        <f>SUM(I43:I46)</f>
        <v>330.46</v>
      </c>
      <c r="J47" s="6">
        <f>SUM(J43:J46)</f>
        <v>344.5</v>
      </c>
      <c r="K47" s="3">
        <f>SUM(K43:K45)</f>
        <v>0</v>
      </c>
    </row>
    <row r="48" spans="2:21" x14ac:dyDescent="0.2">
      <c r="K48" s="131"/>
    </row>
    <row r="49" spans="2:11" ht="15" x14ac:dyDescent="0.25">
      <c r="B49" s="338" t="s">
        <v>166</v>
      </c>
      <c r="J49" s="24"/>
      <c r="K49" s="3">
        <f>SUM(G47:K47)</f>
        <v>32804.720000000001</v>
      </c>
    </row>
    <row r="50" spans="2:11" ht="15.75" thickBot="1" x14ac:dyDescent="0.3">
      <c r="B50" s="339">
        <f>SUM(B29+F15+F8+F30+F38+F50+F23)</f>
        <v>376804.51951840002</v>
      </c>
      <c r="F50" s="174">
        <f>SUM((K49)-(K49*1.5%))</f>
        <v>32312.6492</v>
      </c>
      <c r="H50" s="1" t="s">
        <v>224</v>
      </c>
    </row>
    <row r="51" spans="2:11" ht="13.5" thickTop="1" x14ac:dyDescent="0.2">
      <c r="K51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6" zoomScaleNormal="100" workbookViewId="0">
      <selection activeCell="E31" sqref="E31"/>
    </sheetView>
  </sheetViews>
  <sheetFormatPr defaultRowHeight="12.75" x14ac:dyDescent="0.2"/>
  <cols>
    <col min="1" max="1" width="21.7109375" style="1" customWidth="1"/>
    <col min="2" max="2" width="16.7109375" style="1" customWidth="1"/>
    <col min="3" max="3" width="14.140625" style="1" customWidth="1"/>
    <col min="4" max="4" width="11.28515625" style="1" bestFit="1" customWidth="1"/>
    <col min="5" max="5" width="15" style="1" customWidth="1"/>
    <col min="6" max="6" width="5.140625" style="1" customWidth="1"/>
    <col min="7" max="7" width="3.42578125" style="329" customWidth="1"/>
    <col min="8" max="8" width="17.28515625" style="1" customWidth="1"/>
    <col min="9" max="9" width="13" style="1" customWidth="1"/>
    <col min="10" max="10" width="13.140625" style="1" customWidth="1"/>
    <col min="11" max="11" width="16.140625" style="1" customWidth="1"/>
    <col min="12" max="12" width="9.140625" style="1"/>
    <col min="13" max="13" width="10.7109375" style="1" bestFit="1" customWidth="1"/>
    <col min="14" max="14" width="10.140625" style="1" bestFit="1" customWidth="1"/>
    <col min="15" max="15" width="2.5703125" style="329" customWidth="1"/>
    <col min="16" max="16" width="17.5703125" style="1" customWidth="1"/>
    <col min="17" max="17" width="10.28515625" style="1" bestFit="1" customWidth="1"/>
    <col min="18" max="18" width="9.140625" style="1"/>
    <col min="19" max="19" width="10" style="1" bestFit="1" customWidth="1"/>
    <col min="20" max="20" width="4.42578125" style="1" customWidth="1"/>
    <col min="21" max="21" width="14" style="1" customWidth="1"/>
    <col min="22" max="22" width="11.140625" style="1" bestFit="1" customWidth="1"/>
    <col min="23" max="23" width="9.5703125" style="1" bestFit="1" customWidth="1"/>
    <col min="24" max="24" width="10" style="1" bestFit="1" customWidth="1"/>
    <col min="25" max="25" width="4.28515625" style="1" customWidth="1"/>
    <col min="26" max="26" width="18.5703125" style="1" bestFit="1" customWidth="1"/>
    <col min="27" max="27" width="1.7109375" style="1" customWidth="1"/>
    <col min="28" max="29" width="9.140625" style="1"/>
    <col min="30" max="30" width="10.7109375" style="1" bestFit="1" customWidth="1"/>
    <col min="31" max="31" width="16.7109375" style="1" customWidth="1"/>
    <col min="32" max="16384" width="9.140625" style="1"/>
  </cols>
  <sheetData>
    <row r="1" spans="1:14" ht="18.75" x14ac:dyDescent="0.3">
      <c r="A1" s="133" t="s">
        <v>216</v>
      </c>
    </row>
    <row r="3" spans="1:14" x14ac:dyDescent="0.2">
      <c r="A3" s="340"/>
      <c r="B3" s="340"/>
      <c r="C3" s="340"/>
      <c r="D3" s="341"/>
      <c r="E3" s="341"/>
      <c r="F3" s="341"/>
      <c r="H3" s="340"/>
      <c r="I3" s="340"/>
      <c r="J3" s="340"/>
      <c r="K3" s="340"/>
      <c r="L3" s="341"/>
      <c r="M3" s="341"/>
      <c r="N3" s="341"/>
    </row>
    <row r="4" spans="1:14" ht="15" x14ac:dyDescent="0.25">
      <c r="A4" s="343" t="s">
        <v>18</v>
      </c>
      <c r="B4" s="340"/>
      <c r="C4" s="340"/>
      <c r="D4" s="341"/>
      <c r="E4" s="341"/>
      <c r="F4" s="341"/>
      <c r="H4" s="343" t="s">
        <v>71</v>
      </c>
      <c r="I4" s="340"/>
      <c r="J4" s="340"/>
      <c r="K4" s="340"/>
      <c r="L4" s="341"/>
      <c r="M4" s="341"/>
      <c r="N4" s="341"/>
    </row>
    <row r="6" spans="1:14" x14ac:dyDescent="0.2">
      <c r="A6" s="9" t="s">
        <v>96</v>
      </c>
      <c r="B6" s="20" t="s">
        <v>102</v>
      </c>
      <c r="C6" s="20" t="s">
        <v>56</v>
      </c>
      <c r="H6" s="9" t="s">
        <v>59</v>
      </c>
      <c r="I6" s="10" t="s">
        <v>79</v>
      </c>
      <c r="J6" s="10" t="s">
        <v>55</v>
      </c>
      <c r="K6" s="10" t="s">
        <v>56</v>
      </c>
    </row>
    <row r="7" spans="1:14" x14ac:dyDescent="0.2">
      <c r="A7" s="1" t="s">
        <v>103</v>
      </c>
      <c r="B7" s="15" t="s">
        <v>104</v>
      </c>
      <c r="C7" s="15">
        <v>1600</v>
      </c>
      <c r="H7" s="1" t="s">
        <v>52</v>
      </c>
      <c r="I7" s="7">
        <v>750</v>
      </c>
      <c r="J7" s="7">
        <v>0.55000000000000004</v>
      </c>
      <c r="K7" s="15">
        <f>SUM(I7*J7)</f>
        <v>412.50000000000006</v>
      </c>
    </row>
    <row r="8" spans="1:14" x14ac:dyDescent="0.2">
      <c r="A8" s="1" t="s">
        <v>105</v>
      </c>
      <c r="B8" s="15" t="s">
        <v>106</v>
      </c>
      <c r="C8" s="15">
        <v>650</v>
      </c>
      <c r="H8" s="1" t="s">
        <v>51</v>
      </c>
      <c r="I8" s="7">
        <v>300</v>
      </c>
      <c r="J8" s="7">
        <v>0.55000000000000004</v>
      </c>
      <c r="K8" s="15">
        <f>SUM(I8*J8)</f>
        <v>165</v>
      </c>
    </row>
    <row r="9" spans="1:14" x14ac:dyDescent="0.2">
      <c r="A9" s="1" t="s">
        <v>107</v>
      </c>
      <c r="B9" s="15" t="s">
        <v>108</v>
      </c>
      <c r="C9" s="15">
        <v>7670</v>
      </c>
      <c r="H9" s="1" t="s">
        <v>60</v>
      </c>
      <c r="I9" s="7">
        <v>20</v>
      </c>
      <c r="J9" s="7">
        <v>0.55000000000000004</v>
      </c>
      <c r="K9" s="17">
        <f>SUM(I9*J9)</f>
        <v>11</v>
      </c>
    </row>
    <row r="10" spans="1:14" x14ac:dyDescent="0.2">
      <c r="A10" s="1" t="s">
        <v>109</v>
      </c>
      <c r="B10" s="15" t="s">
        <v>110</v>
      </c>
      <c r="C10" s="15">
        <f>SUM(160*7)</f>
        <v>1120</v>
      </c>
      <c r="K10" s="3">
        <f>SUM(K7:K9)</f>
        <v>588.5</v>
      </c>
    </row>
    <row r="11" spans="1:14" x14ac:dyDescent="0.2">
      <c r="A11" s="1" t="s">
        <v>146</v>
      </c>
      <c r="B11" s="15" t="s">
        <v>230</v>
      </c>
      <c r="C11" s="15">
        <v>5000</v>
      </c>
    </row>
    <row r="12" spans="1:14" x14ac:dyDescent="0.2">
      <c r="A12" s="1" t="s">
        <v>233</v>
      </c>
      <c r="C12" s="6">
        <v>7500</v>
      </c>
      <c r="H12" s="9" t="s">
        <v>86</v>
      </c>
      <c r="I12" s="9"/>
      <c r="J12" s="9"/>
      <c r="K12" s="9"/>
    </row>
    <row r="13" spans="1:14" x14ac:dyDescent="0.2">
      <c r="A13" s="1" t="s">
        <v>145</v>
      </c>
      <c r="B13" s="15" t="s">
        <v>144</v>
      </c>
      <c r="C13" s="17">
        <f>SUM(220*12)</f>
        <v>2640</v>
      </c>
      <c r="I13" s="7" t="s">
        <v>81</v>
      </c>
      <c r="J13" s="7" t="s">
        <v>82</v>
      </c>
      <c r="K13" s="7" t="s">
        <v>83</v>
      </c>
    </row>
    <row r="14" spans="1:14" ht="15.75" thickBot="1" x14ac:dyDescent="0.3">
      <c r="C14" s="176">
        <f>SUM(C7:C13)</f>
        <v>26180</v>
      </c>
      <c r="H14" s="1" t="s">
        <v>52</v>
      </c>
      <c r="I14" s="6">
        <v>0</v>
      </c>
      <c r="J14" s="6">
        <v>0</v>
      </c>
      <c r="K14" s="6">
        <v>0</v>
      </c>
    </row>
    <row r="15" spans="1:14" ht="13.5" thickTop="1" x14ac:dyDescent="0.2">
      <c r="H15" s="1" t="s">
        <v>51</v>
      </c>
      <c r="I15" s="6">
        <v>0</v>
      </c>
      <c r="J15" s="6">
        <v>900</v>
      </c>
      <c r="K15" s="6">
        <v>250</v>
      </c>
    </row>
    <row r="16" spans="1:14" x14ac:dyDescent="0.2">
      <c r="A16" s="340"/>
      <c r="B16" s="340"/>
      <c r="C16" s="340"/>
      <c r="D16" s="340"/>
      <c r="E16" s="341"/>
      <c r="F16" s="341"/>
      <c r="H16" s="1" t="s">
        <v>80</v>
      </c>
      <c r="I16" s="6">
        <v>0</v>
      </c>
      <c r="J16" s="6">
        <v>900</v>
      </c>
      <c r="K16" s="6">
        <v>250</v>
      </c>
    </row>
    <row r="17" spans="1:11" ht="15" x14ac:dyDescent="0.25">
      <c r="A17" s="343" t="s">
        <v>3</v>
      </c>
      <c r="B17" s="340"/>
      <c r="C17" s="340"/>
      <c r="D17" s="340"/>
      <c r="E17" s="341"/>
      <c r="F17" s="341"/>
      <c r="H17" s="1" t="s">
        <v>80</v>
      </c>
      <c r="I17" s="2">
        <v>0</v>
      </c>
      <c r="J17" s="2">
        <v>900</v>
      </c>
      <c r="K17" s="2">
        <v>250</v>
      </c>
    </row>
    <row r="18" spans="1:11" x14ac:dyDescent="0.2">
      <c r="I18" s="6">
        <f>SUM(I14:I17)</f>
        <v>0</v>
      </c>
      <c r="J18" s="6">
        <f>SUM(J14:J17)</f>
        <v>2700</v>
      </c>
      <c r="K18" s="6">
        <f>SUM(K14:K17)</f>
        <v>750</v>
      </c>
    </row>
    <row r="19" spans="1:11" x14ac:dyDescent="0.2">
      <c r="A19" s="9" t="s">
        <v>96</v>
      </c>
      <c r="B19" s="10" t="s">
        <v>98</v>
      </c>
      <c r="C19" s="10" t="s">
        <v>55</v>
      </c>
      <c r="D19" s="10" t="s">
        <v>56</v>
      </c>
    </row>
    <row r="20" spans="1:11" x14ac:dyDescent="0.2">
      <c r="A20" s="1" t="s">
        <v>100</v>
      </c>
      <c r="B20" s="7">
        <f>SUM(1*12)</f>
        <v>12</v>
      </c>
      <c r="C20" s="15">
        <v>240</v>
      </c>
      <c r="D20" s="8">
        <f>SUM(B20*C20)</f>
        <v>2880</v>
      </c>
      <c r="K20" s="3">
        <f>SUM(I18:K18)</f>
        <v>3450</v>
      </c>
    </row>
    <row r="21" spans="1:11" x14ac:dyDescent="0.2">
      <c r="A21" s="1" t="s">
        <v>101</v>
      </c>
      <c r="B21" s="7">
        <f>SUM(10*12)</f>
        <v>120</v>
      </c>
      <c r="C21" s="15">
        <v>275</v>
      </c>
      <c r="D21" s="19">
        <f>SUM(B21*C21)</f>
        <v>33000</v>
      </c>
    </row>
    <row r="22" spans="1:11" x14ac:dyDescent="0.2">
      <c r="B22" s="7"/>
      <c r="C22" s="7"/>
      <c r="D22" s="7"/>
      <c r="H22" s="9" t="s">
        <v>85</v>
      </c>
      <c r="I22" s="9"/>
      <c r="J22" s="9"/>
      <c r="K22" s="9"/>
    </row>
    <row r="23" spans="1:11" ht="15.75" thickBot="1" x14ac:dyDescent="0.3">
      <c r="B23" s="7"/>
      <c r="C23" s="7"/>
      <c r="D23" s="173">
        <f>SUM(D20:D21)</f>
        <v>35880</v>
      </c>
      <c r="I23" s="7" t="s">
        <v>87</v>
      </c>
      <c r="J23" s="7" t="s">
        <v>82</v>
      </c>
      <c r="K23" s="7" t="s">
        <v>83</v>
      </c>
    </row>
    <row r="24" spans="1:11" ht="13.5" thickTop="1" x14ac:dyDescent="0.2">
      <c r="H24" s="1" t="s">
        <v>52</v>
      </c>
      <c r="I24" s="15">
        <v>0</v>
      </c>
      <c r="J24" s="15">
        <v>0</v>
      </c>
      <c r="K24" s="15">
        <v>0</v>
      </c>
    </row>
    <row r="25" spans="1:11" x14ac:dyDescent="0.2">
      <c r="H25" s="1" t="s">
        <v>51</v>
      </c>
      <c r="I25" s="15">
        <v>0</v>
      </c>
      <c r="J25" s="15">
        <v>0</v>
      </c>
      <c r="K25" s="15">
        <v>0</v>
      </c>
    </row>
    <row r="26" spans="1:11" x14ac:dyDescent="0.2">
      <c r="A26" s="340"/>
      <c r="B26" s="340"/>
      <c r="C26" s="340"/>
      <c r="D26" s="340"/>
      <c r="E26" s="341"/>
      <c r="F26" s="341"/>
      <c r="H26" s="1" t="s">
        <v>53</v>
      </c>
      <c r="I26" s="17">
        <v>0</v>
      </c>
      <c r="J26" s="17">
        <v>0</v>
      </c>
      <c r="K26" s="17">
        <v>0</v>
      </c>
    </row>
    <row r="27" spans="1:11" ht="15" x14ac:dyDescent="0.25">
      <c r="A27" s="343" t="s">
        <v>70</v>
      </c>
      <c r="B27" s="340"/>
      <c r="C27" s="340"/>
      <c r="D27" s="340"/>
      <c r="E27" s="341"/>
      <c r="F27" s="341"/>
      <c r="I27" s="8">
        <f>SUM(I24:I26)</f>
        <v>0</v>
      </c>
      <c r="J27" s="8">
        <f>SUM(J24:J26)</f>
        <v>0</v>
      </c>
      <c r="K27" s="8">
        <f>SUM(K24:K26)</f>
        <v>0</v>
      </c>
    </row>
    <row r="29" spans="1:11" x14ac:dyDescent="0.2">
      <c r="A29" s="10" t="s">
        <v>96</v>
      </c>
      <c r="B29" s="10" t="s">
        <v>98</v>
      </c>
      <c r="C29" s="10" t="s">
        <v>55</v>
      </c>
      <c r="D29" s="10" t="s">
        <v>56</v>
      </c>
      <c r="H29" s="9" t="s">
        <v>84</v>
      </c>
      <c r="K29" s="6">
        <v>500</v>
      </c>
    </row>
    <row r="30" spans="1:11" x14ac:dyDescent="0.2">
      <c r="A30" s="7" t="s">
        <v>97</v>
      </c>
      <c r="B30" s="7">
        <f>SUM(2.5*12)</f>
        <v>30</v>
      </c>
      <c r="C30" s="15">
        <v>120</v>
      </c>
      <c r="D30" s="8">
        <f>SUM(B30*C30)</f>
        <v>3600</v>
      </c>
    </row>
    <row r="31" spans="1:11" x14ac:dyDescent="0.2">
      <c r="A31" s="7" t="s">
        <v>99</v>
      </c>
      <c r="B31" s="7">
        <v>26</v>
      </c>
      <c r="C31" s="15">
        <v>75</v>
      </c>
      <c r="D31" s="19">
        <f>SUM(B31*C31)</f>
        <v>1950</v>
      </c>
      <c r="K31" s="3"/>
    </row>
    <row r="33" spans="1:14" ht="15.75" thickBot="1" x14ac:dyDescent="0.3">
      <c r="K33" s="176">
        <f>SUM(K10+K20+K29)</f>
        <v>4538.5</v>
      </c>
    </row>
    <row r="34" spans="1:14" ht="16.5" thickTop="1" thickBot="1" x14ac:dyDescent="0.3">
      <c r="D34" s="176">
        <f>SUM(D30:D33)</f>
        <v>5550</v>
      </c>
    </row>
    <row r="35" spans="1:14" ht="13.5" thickTop="1" x14ac:dyDescent="0.2"/>
    <row r="36" spans="1:14" x14ac:dyDescent="0.2">
      <c r="H36" s="340"/>
      <c r="I36" s="340"/>
      <c r="J36" s="340"/>
      <c r="K36" s="340"/>
      <c r="L36" s="341"/>
      <c r="M36" s="341"/>
      <c r="N36" s="341"/>
    </row>
    <row r="37" spans="1:14" ht="15" x14ac:dyDescent="0.25">
      <c r="A37" s="340"/>
      <c r="B37" s="340"/>
      <c r="C37" s="340"/>
      <c r="D37" s="340"/>
      <c r="E37" s="341"/>
      <c r="F37" s="341"/>
      <c r="H37" s="343" t="s">
        <v>72</v>
      </c>
      <c r="I37" s="340"/>
      <c r="J37" s="340"/>
      <c r="K37" s="340"/>
      <c r="L37" s="341"/>
      <c r="M37" s="341"/>
      <c r="N37" s="341"/>
    </row>
    <row r="38" spans="1:14" ht="15" x14ac:dyDescent="0.25">
      <c r="A38" s="343" t="s">
        <v>19</v>
      </c>
      <c r="B38" s="340"/>
      <c r="C38" s="340"/>
      <c r="D38" s="340"/>
      <c r="E38" s="341"/>
      <c r="F38" s="341"/>
    </row>
    <row r="39" spans="1:14" x14ac:dyDescent="0.2">
      <c r="H39" s="9" t="s">
        <v>76</v>
      </c>
      <c r="I39" s="9"/>
      <c r="J39" s="10" t="s">
        <v>55</v>
      </c>
      <c r="K39" s="10" t="s">
        <v>77</v>
      </c>
      <c r="L39" s="10" t="s">
        <v>78</v>
      </c>
      <c r="M39" s="10" t="s">
        <v>56</v>
      </c>
    </row>
    <row r="40" spans="1:14" x14ac:dyDescent="0.2">
      <c r="A40" s="9" t="s">
        <v>93</v>
      </c>
      <c r="B40" s="10" t="s">
        <v>94</v>
      </c>
      <c r="C40" s="10" t="s">
        <v>95</v>
      </c>
      <c r="D40" s="10" t="s">
        <v>56</v>
      </c>
      <c r="H40" s="1" t="s">
        <v>73</v>
      </c>
      <c r="J40" s="15">
        <v>125</v>
      </c>
      <c r="K40" s="15">
        <v>6</v>
      </c>
      <c r="L40" s="15">
        <v>10</v>
      </c>
      <c r="M40" s="15">
        <f>SUM((J40*K40)*(L40))</f>
        <v>7500</v>
      </c>
    </row>
    <row r="41" spans="1:14" x14ac:dyDescent="0.2">
      <c r="A41" s="1" t="s">
        <v>88</v>
      </c>
      <c r="B41" s="7">
        <v>3</v>
      </c>
      <c r="C41" s="15">
        <v>490</v>
      </c>
      <c r="D41" s="15">
        <f>B41*C41</f>
        <v>1470</v>
      </c>
      <c r="H41" s="1" t="s">
        <v>74</v>
      </c>
      <c r="J41" s="15">
        <v>125</v>
      </c>
      <c r="K41" s="15">
        <v>1</v>
      </c>
      <c r="L41" s="15">
        <v>10</v>
      </c>
      <c r="M41" s="15">
        <f t="shared" ref="M41:M42" si="0">SUM((J41*K41)*(L41))</f>
        <v>1250</v>
      </c>
    </row>
    <row r="42" spans="1:14" x14ac:dyDescent="0.2">
      <c r="A42" s="1" t="s">
        <v>89</v>
      </c>
      <c r="B42" s="7">
        <v>3</v>
      </c>
      <c r="C42" s="15">
        <v>315</v>
      </c>
      <c r="D42" s="15">
        <f>B42*C42</f>
        <v>945</v>
      </c>
      <c r="H42" s="1" t="s">
        <v>75</v>
      </c>
      <c r="J42" s="15">
        <v>125</v>
      </c>
      <c r="K42" s="15">
        <v>6</v>
      </c>
      <c r="L42" s="15">
        <v>3</v>
      </c>
      <c r="M42" s="17">
        <f t="shared" si="0"/>
        <v>2250</v>
      </c>
    </row>
    <row r="43" spans="1:14" x14ac:dyDescent="0.2">
      <c r="A43" s="1" t="s">
        <v>91</v>
      </c>
      <c r="B43" s="7">
        <v>2</v>
      </c>
      <c r="C43" s="15">
        <v>50</v>
      </c>
      <c r="D43" s="15">
        <f>B43*C43</f>
        <v>100</v>
      </c>
    </row>
    <row r="44" spans="1:14" ht="15.75" thickBot="1" x14ac:dyDescent="0.3">
      <c r="A44" s="1" t="s">
        <v>92</v>
      </c>
      <c r="B44" s="7">
        <v>1</v>
      </c>
      <c r="C44" s="15">
        <v>450</v>
      </c>
      <c r="D44" s="17">
        <f>B44*C44</f>
        <v>450</v>
      </c>
      <c r="M44" s="176">
        <f>SUM(M40:M42)</f>
        <v>11000</v>
      </c>
    </row>
    <row r="45" spans="1:14" ht="13.5" thickTop="1" x14ac:dyDescent="0.2"/>
    <row r="46" spans="1:14" ht="15.75" thickBot="1" x14ac:dyDescent="0.3">
      <c r="D46" s="176">
        <f>SUM(D41:D44)</f>
        <v>2965</v>
      </c>
      <c r="I46" s="3"/>
    </row>
    <row r="47" spans="1:14" ht="13.5" thickTop="1" x14ac:dyDescent="0.2"/>
    <row r="50" spans="1:1" ht="15" x14ac:dyDescent="0.25">
      <c r="A50" s="338" t="s">
        <v>166</v>
      </c>
    </row>
    <row r="51" spans="1:1" ht="15" x14ac:dyDescent="0.25">
      <c r="A51" s="342">
        <f>SUM(C14+D23+D34+D46+K33+M44)</f>
        <v>86113.5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90" zoomScaleNormal="90" workbookViewId="0">
      <selection activeCell="Q18" sqref="Q18"/>
    </sheetView>
  </sheetViews>
  <sheetFormatPr defaultRowHeight="12.75" x14ac:dyDescent="0.2"/>
  <cols>
    <col min="1" max="1" width="18.140625" customWidth="1"/>
    <col min="2" max="2" width="12.140625" bestFit="1" customWidth="1"/>
    <col min="3" max="3" width="11.7109375" bestFit="1" customWidth="1"/>
    <col min="4" max="4" width="12.42578125" customWidth="1"/>
    <col min="5" max="5" width="13.85546875" customWidth="1"/>
    <col min="6" max="6" width="12.140625" bestFit="1" customWidth="1"/>
    <col min="7" max="7" width="2.140625" customWidth="1"/>
    <col min="8" max="8" width="1.85546875" customWidth="1"/>
    <col min="9" max="9" width="26.28515625" bestFit="1" customWidth="1"/>
    <col min="10" max="10" width="12.42578125" bestFit="1" customWidth="1"/>
    <col min="11" max="11" width="15.42578125" customWidth="1"/>
    <col min="12" max="12" width="14.140625" customWidth="1"/>
    <col min="13" max="13" width="11.85546875" customWidth="1"/>
    <col min="14" max="14" width="14.140625" customWidth="1"/>
    <col min="15" max="15" width="11.7109375" bestFit="1" customWidth="1"/>
    <col min="16" max="16" width="2.7109375" customWidth="1"/>
    <col min="17" max="17" width="13.42578125" customWidth="1"/>
    <col min="18" max="18" width="11.7109375" bestFit="1" customWidth="1"/>
    <col min="19" max="19" width="2.5703125" customWidth="1"/>
    <col min="20" max="20" width="26.28515625" bestFit="1" customWidth="1"/>
    <col min="21" max="21" width="12.85546875" bestFit="1" customWidth="1"/>
    <col min="22" max="22" width="2.140625" customWidth="1"/>
    <col min="23" max="23" width="14" customWidth="1"/>
    <col min="24" max="24" width="14.140625" customWidth="1"/>
    <col min="25" max="25" width="1.42578125" customWidth="1"/>
    <col min="26" max="26" width="14.28515625" bestFit="1" customWidth="1"/>
    <col min="27" max="27" width="16.5703125" customWidth="1"/>
    <col min="28" max="28" width="3" customWidth="1"/>
    <col min="29" max="29" width="20.7109375" customWidth="1"/>
    <col min="30" max="30" width="18.140625" customWidth="1"/>
  </cols>
  <sheetData>
    <row r="1" spans="1:13" ht="18.75" x14ac:dyDescent="0.3">
      <c r="A1" s="133" t="s">
        <v>217</v>
      </c>
      <c r="I1" s="344"/>
      <c r="J1" s="344"/>
      <c r="K1" s="344"/>
      <c r="L1" s="344"/>
      <c r="M1" s="344"/>
    </row>
    <row r="2" spans="1:13" x14ac:dyDescent="0.2">
      <c r="I2" s="18" t="s">
        <v>127</v>
      </c>
      <c r="J2" s="18"/>
      <c r="K2" s="344"/>
      <c r="L2" s="344"/>
      <c r="M2" s="344"/>
    </row>
    <row r="3" spans="1:13" x14ac:dyDescent="0.2">
      <c r="A3" s="18"/>
      <c r="B3" s="18"/>
      <c r="C3" s="18"/>
      <c r="D3" s="344"/>
      <c r="E3" s="344"/>
      <c r="F3" s="344"/>
      <c r="I3" s="1"/>
      <c r="J3" s="1"/>
    </row>
    <row r="4" spans="1:13" x14ac:dyDescent="0.2">
      <c r="A4" s="18" t="s">
        <v>111</v>
      </c>
      <c r="B4" s="18"/>
      <c r="C4" s="18"/>
      <c r="D4" s="344"/>
      <c r="E4" s="344"/>
      <c r="F4" s="344"/>
      <c r="I4" s="12" t="s">
        <v>114</v>
      </c>
      <c r="J4" s="10" t="s">
        <v>56</v>
      </c>
    </row>
    <row r="5" spans="1:13" x14ac:dyDescent="0.2">
      <c r="A5" s="1"/>
      <c r="B5" s="1"/>
      <c r="C5" s="1"/>
      <c r="I5" s="14" t="s">
        <v>218</v>
      </c>
      <c r="J5" s="8">
        <v>1000</v>
      </c>
    </row>
    <row r="6" spans="1:13" ht="16.5" thickBot="1" x14ac:dyDescent="0.3">
      <c r="A6" s="9" t="s">
        <v>114</v>
      </c>
      <c r="B6" s="20" t="s">
        <v>115</v>
      </c>
      <c r="C6" s="20" t="s">
        <v>56</v>
      </c>
      <c r="I6" s="1" t="s">
        <v>141</v>
      </c>
      <c r="J6" s="2">
        <v>250</v>
      </c>
      <c r="L6" s="179">
        <f>SUM(J5:J7)</f>
        <v>1250</v>
      </c>
    </row>
    <row r="7" spans="1:13" ht="13.5" thickTop="1" x14ac:dyDescent="0.2">
      <c r="A7" s="1" t="s">
        <v>112</v>
      </c>
      <c r="B7" s="15" t="s">
        <v>117</v>
      </c>
      <c r="C7" s="15">
        <f>SUM((2495*1)+(2565.25*11))</f>
        <v>30712.75</v>
      </c>
      <c r="I7" s="14"/>
      <c r="J7" s="1"/>
    </row>
    <row r="8" spans="1:13" ht="16.5" thickBot="1" x14ac:dyDescent="0.3">
      <c r="A8" s="1" t="s">
        <v>113</v>
      </c>
      <c r="B8" s="15" t="s">
        <v>116</v>
      </c>
      <c r="C8" s="17">
        <f>SUM((30*3)*(6))</f>
        <v>540</v>
      </c>
      <c r="E8" s="178">
        <f>SUM(C7:C9)</f>
        <v>31252.75</v>
      </c>
      <c r="I8" s="344"/>
      <c r="J8" s="344"/>
      <c r="K8" s="344"/>
      <c r="L8" s="344"/>
      <c r="M8" s="344"/>
    </row>
    <row r="9" spans="1:13" ht="13.5" thickTop="1" x14ac:dyDescent="0.2">
      <c r="A9" s="1"/>
      <c r="B9" s="1"/>
      <c r="C9" s="1"/>
      <c r="I9" s="18" t="s">
        <v>128</v>
      </c>
      <c r="J9" s="18"/>
      <c r="K9" s="344"/>
      <c r="L9" s="344"/>
      <c r="M9" s="344"/>
    </row>
    <row r="10" spans="1:13" x14ac:dyDescent="0.2">
      <c r="A10" s="1"/>
      <c r="B10" s="1"/>
      <c r="H10" s="1"/>
      <c r="I10" s="1"/>
      <c r="J10" s="1"/>
    </row>
    <row r="11" spans="1:13" x14ac:dyDescent="0.2">
      <c r="H11" s="1"/>
      <c r="I11" s="12" t="s">
        <v>114</v>
      </c>
      <c r="J11" s="10" t="s">
        <v>56</v>
      </c>
    </row>
    <row r="12" spans="1:13" x14ac:dyDescent="0.2">
      <c r="A12" s="18"/>
      <c r="B12" s="18"/>
      <c r="C12" s="344"/>
      <c r="D12" s="344"/>
      <c r="E12" s="344"/>
      <c r="F12" s="344"/>
      <c r="I12" s="14" t="s">
        <v>147</v>
      </c>
      <c r="J12" s="8">
        <v>2500</v>
      </c>
    </row>
    <row r="13" spans="1:13" x14ac:dyDescent="0.2">
      <c r="A13" s="18" t="s">
        <v>22</v>
      </c>
      <c r="B13" s="18"/>
      <c r="C13" s="344"/>
      <c r="D13" s="344"/>
      <c r="E13" s="344"/>
      <c r="F13" s="344"/>
      <c r="I13" s="14" t="s">
        <v>227</v>
      </c>
      <c r="J13" s="8">
        <f>SUM(8*850)</f>
        <v>6800</v>
      </c>
      <c r="K13" s="1" t="s">
        <v>226</v>
      </c>
    </row>
    <row r="14" spans="1:13" x14ac:dyDescent="0.2">
      <c r="A14" s="1"/>
      <c r="B14" s="1"/>
      <c r="I14" s="14" t="s">
        <v>140</v>
      </c>
      <c r="J14" s="8">
        <v>100</v>
      </c>
    </row>
    <row r="15" spans="1:13" x14ac:dyDescent="0.2">
      <c r="A15" s="12" t="s">
        <v>114</v>
      </c>
      <c r="B15" s="10" t="s">
        <v>56</v>
      </c>
      <c r="I15" s="14" t="s">
        <v>152</v>
      </c>
      <c r="J15" s="8">
        <v>800</v>
      </c>
    </row>
    <row r="16" spans="1:13" ht="16.5" thickBot="1" x14ac:dyDescent="0.3">
      <c r="A16" s="14" t="s">
        <v>118</v>
      </c>
      <c r="B16" s="8">
        <v>10000</v>
      </c>
      <c r="I16" s="14" t="s">
        <v>148</v>
      </c>
      <c r="J16" s="19">
        <v>1200</v>
      </c>
      <c r="L16" s="179">
        <f>SUM(J12:J17)</f>
        <v>11400</v>
      </c>
    </row>
    <row r="17" spans="1:13" ht="13.5" thickTop="1" x14ac:dyDescent="0.2">
      <c r="A17" s="14" t="s">
        <v>119</v>
      </c>
      <c r="B17" s="8">
        <v>2726</v>
      </c>
    </row>
    <row r="18" spans="1:13" x14ac:dyDescent="0.2">
      <c r="A18" s="14" t="s">
        <v>120</v>
      </c>
      <c r="B18" s="8">
        <v>1200</v>
      </c>
      <c r="I18" s="344"/>
      <c r="J18" s="344"/>
      <c r="K18" s="344"/>
      <c r="L18" s="344"/>
      <c r="M18" s="344"/>
    </row>
    <row r="19" spans="1:13" x14ac:dyDescent="0.2">
      <c r="A19" s="14" t="s">
        <v>121</v>
      </c>
      <c r="B19" s="8">
        <v>150</v>
      </c>
      <c r="I19" s="18" t="s">
        <v>129</v>
      </c>
      <c r="J19" s="18"/>
      <c r="K19" s="344"/>
      <c r="L19" s="344"/>
      <c r="M19" s="344"/>
    </row>
    <row r="20" spans="1:13" ht="16.5" thickBot="1" x14ac:dyDescent="0.3">
      <c r="A20" s="14" t="s">
        <v>90</v>
      </c>
      <c r="B20" s="19">
        <v>480</v>
      </c>
      <c r="E20" s="179">
        <f>SUM(B16:B21)</f>
        <v>14556</v>
      </c>
      <c r="I20" s="1"/>
      <c r="J20" s="1"/>
    </row>
    <row r="21" spans="1:13" ht="13.5" thickTop="1" x14ac:dyDescent="0.2">
      <c r="I21" s="12" t="s">
        <v>114</v>
      </c>
      <c r="J21" s="10" t="s">
        <v>56</v>
      </c>
    </row>
    <row r="22" spans="1:13" x14ac:dyDescent="0.2">
      <c r="I22" s="14" t="s">
        <v>130</v>
      </c>
      <c r="J22" s="8">
        <f>SUM(225*12)</f>
        <v>2700</v>
      </c>
    </row>
    <row r="23" spans="1:13" ht="16.5" thickBot="1" x14ac:dyDescent="0.3">
      <c r="I23" s="14" t="s">
        <v>149</v>
      </c>
      <c r="J23" s="19">
        <f>SUM(125*12)</f>
        <v>1500</v>
      </c>
      <c r="L23" s="179">
        <f>SUM(J22:J24)</f>
        <v>4200</v>
      </c>
    </row>
    <row r="24" spans="1:13" ht="13.5" thickTop="1" x14ac:dyDescent="0.2">
      <c r="A24" s="18"/>
      <c r="B24" s="18"/>
      <c r="C24" s="344"/>
      <c r="D24" s="344"/>
      <c r="E24" s="344"/>
      <c r="F24" s="344"/>
    </row>
    <row r="25" spans="1:13" x14ac:dyDescent="0.2">
      <c r="A25" s="18" t="s">
        <v>23</v>
      </c>
      <c r="B25" s="18"/>
      <c r="C25" s="344"/>
      <c r="D25" s="344"/>
      <c r="E25" s="344"/>
      <c r="F25" s="344"/>
      <c r="I25" s="344"/>
      <c r="J25" s="344"/>
      <c r="K25" s="344"/>
      <c r="L25" s="344"/>
      <c r="M25" s="344"/>
    </row>
    <row r="26" spans="1:13" x14ac:dyDescent="0.2">
      <c r="A26" s="1"/>
      <c r="B26" s="1"/>
      <c r="I26" s="18" t="s">
        <v>131</v>
      </c>
      <c r="J26" s="18"/>
      <c r="K26" s="344"/>
      <c r="L26" s="344"/>
      <c r="M26" s="344"/>
    </row>
    <row r="27" spans="1:13" x14ac:dyDescent="0.2">
      <c r="A27" s="12" t="s">
        <v>102</v>
      </c>
      <c r="B27" s="10" t="s">
        <v>56</v>
      </c>
      <c r="I27" s="1"/>
      <c r="J27" s="1"/>
    </row>
    <row r="28" spans="1:13" ht="16.5" thickBot="1" x14ac:dyDescent="0.3">
      <c r="A28" s="13" t="s">
        <v>120</v>
      </c>
      <c r="B28" s="19">
        <v>2600</v>
      </c>
      <c r="E28" s="178">
        <v>3993.39</v>
      </c>
      <c r="I28" s="12" t="s">
        <v>114</v>
      </c>
      <c r="J28" s="10" t="s">
        <v>56</v>
      </c>
    </row>
    <row r="29" spans="1:13" ht="13.5" thickTop="1" x14ac:dyDescent="0.2">
      <c r="A29" s="13"/>
      <c r="B29" s="21"/>
      <c r="I29" s="14" t="s">
        <v>132</v>
      </c>
      <c r="J29" s="8">
        <f>122*12</f>
        <v>1464</v>
      </c>
    </row>
    <row r="30" spans="1:13" x14ac:dyDescent="0.2">
      <c r="A30" s="1"/>
      <c r="I30" s="14" t="s">
        <v>121</v>
      </c>
      <c r="J30" s="8">
        <f>SUM(450*6)</f>
        <v>2700</v>
      </c>
      <c r="K30" s="1" t="s">
        <v>228</v>
      </c>
    </row>
    <row r="31" spans="1:13" x14ac:dyDescent="0.2">
      <c r="I31" s="14" t="s">
        <v>133</v>
      </c>
      <c r="J31" s="8">
        <f>220*12</f>
        <v>2640</v>
      </c>
    </row>
    <row r="32" spans="1:13" x14ac:dyDescent="0.2">
      <c r="A32" s="18"/>
      <c r="B32" s="18"/>
      <c r="C32" s="344"/>
      <c r="D32" s="344"/>
      <c r="E32" s="344"/>
      <c r="F32" s="344"/>
      <c r="I32" s="14" t="s">
        <v>134</v>
      </c>
      <c r="J32" s="8">
        <f>300</f>
        <v>300</v>
      </c>
    </row>
    <row r="33" spans="1:13" x14ac:dyDescent="0.2">
      <c r="A33" s="18" t="s">
        <v>122</v>
      </c>
      <c r="B33" s="18"/>
      <c r="C33" s="344"/>
      <c r="D33" s="344"/>
      <c r="E33" s="344"/>
      <c r="F33" s="344"/>
      <c r="I33" s="14" t="s">
        <v>135</v>
      </c>
      <c r="J33" s="8">
        <f>12*11</f>
        <v>132</v>
      </c>
    </row>
    <row r="34" spans="1:13" ht="16.5" thickBot="1" x14ac:dyDescent="0.3">
      <c r="A34" s="1"/>
      <c r="B34" s="1"/>
      <c r="I34" s="14" t="s">
        <v>136</v>
      </c>
      <c r="J34" s="19">
        <v>1000</v>
      </c>
      <c r="L34" s="179">
        <f>SUM(J29:J36)</f>
        <v>8236</v>
      </c>
    </row>
    <row r="35" spans="1:13" ht="13.5" thickTop="1" x14ac:dyDescent="0.2">
      <c r="A35" s="12" t="s">
        <v>102</v>
      </c>
      <c r="B35" s="10" t="s">
        <v>56</v>
      </c>
    </row>
    <row r="36" spans="1:13" x14ac:dyDescent="0.2">
      <c r="A36" s="1" t="s">
        <v>139</v>
      </c>
      <c r="B36" s="6">
        <f>33*12</f>
        <v>396</v>
      </c>
    </row>
    <row r="37" spans="1:13" ht="16.5" thickBot="1" x14ac:dyDescent="0.3">
      <c r="A37" s="13" t="s">
        <v>123</v>
      </c>
      <c r="B37" s="19">
        <v>11217</v>
      </c>
      <c r="E37" s="178">
        <f>SUM(B36:B38)</f>
        <v>11613</v>
      </c>
      <c r="I37" s="344"/>
      <c r="J37" s="344"/>
      <c r="K37" s="344"/>
      <c r="L37" s="344"/>
      <c r="M37" s="344"/>
    </row>
    <row r="38" spans="1:13" ht="13.5" thickTop="1" x14ac:dyDescent="0.2">
      <c r="A38" s="1"/>
      <c r="I38" s="18" t="s">
        <v>197</v>
      </c>
      <c r="J38" s="18"/>
      <c r="K38" s="18"/>
      <c r="L38" s="18"/>
      <c r="M38" s="18"/>
    </row>
    <row r="39" spans="1:13" x14ac:dyDescent="0.2">
      <c r="I39" s="1"/>
      <c r="J39" s="1"/>
    </row>
    <row r="40" spans="1:13" x14ac:dyDescent="0.2">
      <c r="I40" s="12" t="s">
        <v>114</v>
      </c>
      <c r="J40" s="10" t="s">
        <v>56</v>
      </c>
    </row>
    <row r="41" spans="1:13" x14ac:dyDescent="0.2">
      <c r="A41" s="18"/>
      <c r="B41" s="18"/>
      <c r="C41" s="344"/>
      <c r="D41" s="344"/>
      <c r="E41" s="344"/>
      <c r="F41" s="344"/>
      <c r="I41" s="14" t="s">
        <v>142</v>
      </c>
      <c r="J41" s="8">
        <f>SUM(18*12)</f>
        <v>216</v>
      </c>
    </row>
    <row r="42" spans="1:13" x14ac:dyDescent="0.2">
      <c r="A42" s="18" t="s">
        <v>124</v>
      </c>
      <c r="B42" s="18"/>
      <c r="C42" s="344"/>
      <c r="D42" s="344"/>
      <c r="E42" s="344"/>
      <c r="F42" s="344"/>
      <c r="I42" s="1" t="s">
        <v>143</v>
      </c>
      <c r="J42" s="6">
        <f>SUM(80*6)</f>
        <v>480</v>
      </c>
    </row>
    <row r="43" spans="1:13" x14ac:dyDescent="0.2">
      <c r="A43" s="1"/>
      <c r="B43" s="1"/>
      <c r="I43" s="1" t="s">
        <v>151</v>
      </c>
      <c r="J43" s="6">
        <f>SUM(45*7)</f>
        <v>315</v>
      </c>
    </row>
    <row r="44" spans="1:13" x14ac:dyDescent="0.2">
      <c r="A44" s="12" t="s">
        <v>102</v>
      </c>
      <c r="B44" s="10" t="s">
        <v>56</v>
      </c>
      <c r="I44" s="1" t="s">
        <v>150</v>
      </c>
      <c r="J44" s="6">
        <v>450</v>
      </c>
    </row>
    <row r="45" spans="1:13" ht="16.5" thickBot="1" x14ac:dyDescent="0.3">
      <c r="A45" s="13" t="s">
        <v>126</v>
      </c>
      <c r="B45" s="21">
        <f>SUM(200*5)</f>
        <v>1000</v>
      </c>
      <c r="I45" s="1" t="s">
        <v>229</v>
      </c>
      <c r="J45" s="2">
        <v>500</v>
      </c>
      <c r="L45" s="179">
        <f>SUM(J41:J53)</f>
        <v>1961</v>
      </c>
    </row>
    <row r="46" spans="1:13" ht="18.75" thickTop="1" thickBot="1" x14ac:dyDescent="0.4">
      <c r="A46" s="13" t="s">
        <v>125</v>
      </c>
      <c r="B46" s="22">
        <v>4000</v>
      </c>
      <c r="E46" s="178">
        <f>SUM(B45:B46)</f>
        <v>5000</v>
      </c>
    </row>
    <row r="47" spans="1:13" ht="13.5" thickTop="1" x14ac:dyDescent="0.2">
      <c r="A47" s="1"/>
    </row>
    <row r="48" spans="1:13" x14ac:dyDescent="0.2">
      <c r="I48" s="1"/>
    </row>
    <row r="49" spans="1:1" ht="15.75" x14ac:dyDescent="0.25">
      <c r="A49" s="345" t="s">
        <v>182</v>
      </c>
    </row>
    <row r="50" spans="1:1" ht="15.75" x14ac:dyDescent="0.25">
      <c r="A50" s="346">
        <f>SUM(E8+E20+E28+E37+E46+L45+L34+L23+L16+L6)</f>
        <v>93462.14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F27" sqref="F27"/>
    </sheetView>
  </sheetViews>
  <sheetFormatPr defaultRowHeight="12.75" x14ac:dyDescent="0.2"/>
  <cols>
    <col min="1" max="1" width="6.42578125" style="1" customWidth="1"/>
    <col min="2" max="2" width="16.28515625" style="1" customWidth="1"/>
    <col min="3" max="3" width="1.140625" style="1" customWidth="1"/>
    <col min="4" max="4" width="12.5703125" style="7" customWidth="1"/>
    <col min="5" max="5" width="1.140625" style="7" customWidth="1"/>
    <col min="6" max="6" width="11.5703125" style="7" bestFit="1" customWidth="1"/>
    <col min="7" max="7" width="1" style="1" customWidth="1"/>
    <col min="8" max="8" width="9.5703125" style="7" bestFit="1" customWidth="1"/>
    <col min="9" max="9" width="2" style="7" customWidth="1"/>
    <col min="10" max="10" width="9.140625" style="7"/>
    <col min="11" max="11" width="2" style="7" customWidth="1"/>
    <col min="12" max="12" width="9.140625" style="7"/>
    <col min="13" max="13" width="1" style="7" customWidth="1"/>
    <col min="14" max="14" width="9.140625" style="7"/>
    <col min="15" max="15" width="1.5703125" style="7" customWidth="1"/>
    <col min="16" max="17" width="9.140625" style="7"/>
    <col min="18" max="16384" width="9.140625" style="1"/>
  </cols>
  <sheetData>
    <row r="1" spans="1:16" ht="18.75" x14ac:dyDescent="0.3">
      <c r="A1" s="133" t="s">
        <v>219</v>
      </c>
    </row>
    <row r="2" spans="1:16" x14ac:dyDescent="0.2"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B3" s="168"/>
      <c r="D3" s="141"/>
      <c r="E3" s="142"/>
      <c r="F3" s="143"/>
      <c r="H3" s="135" t="s">
        <v>184</v>
      </c>
      <c r="I3" s="136"/>
      <c r="J3" s="136" t="s">
        <v>220</v>
      </c>
      <c r="K3" s="136"/>
      <c r="L3" s="136" t="s">
        <v>178</v>
      </c>
      <c r="M3" s="136"/>
      <c r="N3" s="136" t="s">
        <v>180</v>
      </c>
      <c r="O3" s="136"/>
      <c r="P3" s="137" t="s">
        <v>182</v>
      </c>
    </row>
    <row r="4" spans="1:16" ht="15" x14ac:dyDescent="0.25">
      <c r="B4" s="169" t="s">
        <v>192</v>
      </c>
      <c r="C4" s="16"/>
      <c r="D4" s="144" t="s">
        <v>175</v>
      </c>
      <c r="E4" s="145"/>
      <c r="F4" s="146" t="s">
        <v>176</v>
      </c>
      <c r="H4" s="138" t="s">
        <v>177</v>
      </c>
      <c r="I4" s="139"/>
      <c r="J4" s="139" t="s">
        <v>187</v>
      </c>
      <c r="K4" s="139"/>
      <c r="L4" s="139" t="s">
        <v>179</v>
      </c>
      <c r="M4" s="139"/>
      <c r="N4" s="139" t="s">
        <v>181</v>
      </c>
      <c r="O4" s="139"/>
      <c r="P4" s="140" t="s">
        <v>183</v>
      </c>
    </row>
    <row r="5" spans="1:16" x14ac:dyDescent="0.2">
      <c r="B5" s="166" t="s">
        <v>167</v>
      </c>
      <c r="D5" s="147">
        <v>636337</v>
      </c>
      <c r="E5" s="148"/>
      <c r="F5" s="149">
        <v>665037</v>
      </c>
      <c r="H5" s="153">
        <v>2.5</v>
      </c>
      <c r="I5" s="154"/>
      <c r="J5" s="154" t="s">
        <v>185</v>
      </c>
      <c r="K5" s="154"/>
      <c r="L5" s="154">
        <v>14</v>
      </c>
      <c r="M5" s="154"/>
      <c r="N5" s="154">
        <f>SUM(15+20)</f>
        <v>35</v>
      </c>
      <c r="O5" s="154"/>
      <c r="P5" s="155">
        <f>SUM(L5:N5)</f>
        <v>49</v>
      </c>
    </row>
    <row r="6" spans="1:16" ht="13.5" thickBot="1" x14ac:dyDescent="0.25">
      <c r="B6" s="166" t="s">
        <v>168</v>
      </c>
      <c r="D6" s="147">
        <v>813750</v>
      </c>
      <c r="E6" s="148"/>
      <c r="F6" s="149">
        <v>893733</v>
      </c>
      <c r="H6" s="153">
        <v>2</v>
      </c>
      <c r="I6" s="154"/>
      <c r="J6" s="154" t="s">
        <v>185</v>
      </c>
      <c r="K6" s="154"/>
      <c r="L6" s="154">
        <v>19</v>
      </c>
      <c r="M6" s="154"/>
      <c r="N6" s="154">
        <f>SUM(19+29)</f>
        <v>48</v>
      </c>
      <c r="O6" s="154"/>
      <c r="P6" s="155">
        <f t="shared" ref="P6:P13" si="0">SUM(L6:N6)</f>
        <v>67</v>
      </c>
    </row>
    <row r="7" spans="1:16" ht="13.5" thickBot="1" x14ac:dyDescent="0.25">
      <c r="B7" s="170" t="s">
        <v>188</v>
      </c>
      <c r="C7" s="159"/>
      <c r="D7" s="160">
        <f>'2017-2018'!G55</f>
        <v>470254.42</v>
      </c>
      <c r="E7" s="161"/>
      <c r="F7" s="162">
        <f>'2017-2018'!J55</f>
        <v>526862.27863420011</v>
      </c>
      <c r="G7" s="159"/>
      <c r="H7" s="163">
        <v>2.8</v>
      </c>
      <c r="I7" s="164"/>
      <c r="J7" s="164" t="s">
        <v>186</v>
      </c>
      <c r="K7" s="164"/>
      <c r="L7" s="164">
        <v>11</v>
      </c>
      <c r="M7" s="164"/>
      <c r="N7" s="164">
        <v>54</v>
      </c>
      <c r="O7" s="164"/>
      <c r="P7" s="165">
        <f t="shared" si="0"/>
        <v>65</v>
      </c>
    </row>
    <row r="8" spans="1:16" x14ac:dyDescent="0.2">
      <c r="B8" s="166" t="s">
        <v>173</v>
      </c>
      <c r="D8" s="147">
        <v>525684</v>
      </c>
      <c r="E8" s="148"/>
      <c r="F8" s="149">
        <v>534328</v>
      </c>
      <c r="H8" s="153">
        <v>2</v>
      </c>
      <c r="I8" s="154"/>
      <c r="J8" s="154" t="s">
        <v>185</v>
      </c>
      <c r="K8" s="154"/>
      <c r="L8" s="154">
        <v>5</v>
      </c>
      <c r="M8" s="154"/>
      <c r="N8" s="154">
        <f>SUM(8+10)</f>
        <v>18</v>
      </c>
      <c r="O8" s="154"/>
      <c r="P8" s="155">
        <f t="shared" si="0"/>
        <v>23</v>
      </c>
    </row>
    <row r="9" spans="1:16" x14ac:dyDescent="0.2">
      <c r="B9" s="166" t="s">
        <v>174</v>
      </c>
      <c r="D9" s="147">
        <v>297342</v>
      </c>
      <c r="E9" s="148"/>
      <c r="F9" s="149">
        <v>297342</v>
      </c>
      <c r="H9" s="153">
        <v>1</v>
      </c>
      <c r="I9" s="154"/>
      <c r="J9" s="154" t="s">
        <v>186</v>
      </c>
      <c r="K9" s="154"/>
      <c r="L9" s="154">
        <v>1</v>
      </c>
      <c r="M9" s="154"/>
      <c r="N9" s="154">
        <f>SUM(0)</f>
        <v>0</v>
      </c>
      <c r="O9" s="154"/>
      <c r="P9" s="155">
        <f t="shared" si="0"/>
        <v>1</v>
      </c>
    </row>
    <row r="10" spans="1:16" x14ac:dyDescent="0.2">
      <c r="B10" s="166" t="s">
        <v>169</v>
      </c>
      <c r="D10" s="147">
        <v>476248</v>
      </c>
      <c r="E10" s="148"/>
      <c r="F10" s="149">
        <v>450230</v>
      </c>
      <c r="H10" s="153">
        <v>1.8</v>
      </c>
      <c r="I10" s="154"/>
      <c r="J10" s="154" t="s">
        <v>186</v>
      </c>
      <c r="K10" s="154"/>
      <c r="L10" s="154">
        <v>9</v>
      </c>
      <c r="M10" s="154"/>
      <c r="N10" s="154">
        <f>SUM(23+33)</f>
        <v>56</v>
      </c>
      <c r="O10" s="154"/>
      <c r="P10" s="155">
        <f t="shared" si="0"/>
        <v>65</v>
      </c>
    </row>
    <row r="11" spans="1:16" x14ac:dyDescent="0.2">
      <c r="B11" s="166" t="s">
        <v>170</v>
      </c>
      <c r="D11" s="147">
        <v>819843</v>
      </c>
      <c r="E11" s="148"/>
      <c r="F11" s="149">
        <v>881227</v>
      </c>
      <c r="H11" s="153">
        <v>3</v>
      </c>
      <c r="I11" s="154"/>
      <c r="J11" s="154" t="s">
        <v>186</v>
      </c>
      <c r="K11" s="154"/>
      <c r="L11" s="154">
        <v>15</v>
      </c>
      <c r="M11" s="154"/>
      <c r="N11" s="154">
        <f>SUM(29)</f>
        <v>29</v>
      </c>
      <c r="O11" s="154"/>
      <c r="P11" s="155">
        <f t="shared" si="0"/>
        <v>44</v>
      </c>
    </row>
    <row r="12" spans="1:16" x14ac:dyDescent="0.2">
      <c r="B12" s="166" t="s">
        <v>171</v>
      </c>
      <c r="D12" s="147">
        <v>394235</v>
      </c>
      <c r="E12" s="148"/>
      <c r="F12" s="149">
        <v>419514</v>
      </c>
      <c r="H12" s="153">
        <v>1</v>
      </c>
      <c r="I12" s="154"/>
      <c r="J12" s="154" t="s">
        <v>185</v>
      </c>
      <c r="K12" s="154"/>
      <c r="L12" s="154">
        <v>7</v>
      </c>
      <c r="M12" s="154"/>
      <c r="N12" s="154">
        <f>17+27</f>
        <v>44</v>
      </c>
      <c r="O12" s="154"/>
      <c r="P12" s="155">
        <f t="shared" si="0"/>
        <v>51</v>
      </c>
    </row>
    <row r="13" spans="1:16" x14ac:dyDescent="0.2">
      <c r="B13" s="167" t="s">
        <v>172</v>
      </c>
      <c r="C13" s="16"/>
      <c r="D13" s="150">
        <v>596975</v>
      </c>
      <c r="E13" s="151"/>
      <c r="F13" s="152">
        <v>626055</v>
      </c>
      <c r="H13" s="156">
        <v>3</v>
      </c>
      <c r="I13" s="157"/>
      <c r="J13" s="157" t="s">
        <v>186</v>
      </c>
      <c r="K13" s="157"/>
      <c r="L13" s="157">
        <v>9</v>
      </c>
      <c r="M13" s="157"/>
      <c r="N13" s="157">
        <f>46+8</f>
        <v>54</v>
      </c>
      <c r="O13" s="157"/>
      <c r="P13" s="158">
        <f t="shared" si="0"/>
        <v>63</v>
      </c>
    </row>
    <row r="16" spans="1:16" x14ac:dyDescent="0.2">
      <c r="B16" s="1" t="s">
        <v>236</v>
      </c>
      <c r="D16" s="134">
        <f>SUM((D5+D6+D8+D10+D11+D12+D13)/7)</f>
        <v>609010.28571428568</v>
      </c>
      <c r="E16" s="134"/>
      <c r="F16" s="134">
        <f>SUM((F5+F6+F8+F10+F11+F12+F13)/7)</f>
        <v>638589.14285714284</v>
      </c>
    </row>
    <row r="17" spans="4:6" x14ac:dyDescent="0.2">
      <c r="D17" s="7" t="s">
        <v>235</v>
      </c>
      <c r="F17" s="7" t="s">
        <v>235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2017-2018</vt:lpstr>
      <vt:lpstr>Payroll </vt:lpstr>
      <vt:lpstr>Administrative</vt:lpstr>
      <vt:lpstr>Services</vt:lpstr>
      <vt:lpstr>Other LAFCOs</vt:lpstr>
    </vt:vector>
  </TitlesOfParts>
  <Company>Napa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dschwar3</dc:creator>
  <cp:lastModifiedBy>Keene Simonds</cp:lastModifiedBy>
  <cp:lastPrinted>2017-03-11T19:06:10Z</cp:lastPrinted>
  <dcterms:created xsi:type="dcterms:W3CDTF">2003-01-30T17:16:15Z</dcterms:created>
  <dcterms:modified xsi:type="dcterms:W3CDTF">2017-05-24T18:35:10Z</dcterms:modified>
</cp:coreProperties>
</file>